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Communications - Marketing\VQI website\Website\Reorganization July 2018\"/>
    </mc:Choice>
  </mc:AlternateContent>
  <xr:revisionPtr revIDLastSave="0" documentId="10_ncr:100000_{00783F9F-F078-4689-95A6-9EF304028440}" xr6:coauthVersionLast="31" xr6:coauthVersionMax="31" xr10:uidLastSave="{00000000-0000-0000-0000-000000000000}"/>
  <bookViews>
    <workbookView xWindow="0" yWindow="0" windowWidth="20490" windowHeight="6945" tabRatio="768" firstSheet="1" activeTab="1" xr2:uid="{00000000-000D-0000-FFFF-FFFF00000000}"/>
  </bookViews>
  <sheets>
    <sheet name="Upsell" sheetId="17" state="hidden" r:id="rId1"/>
    <sheet name="VQI Participants" sheetId="44" r:id="rId2"/>
    <sheet name="Jan17" sheetId="59" state="hidden" r:id="rId3"/>
    <sheet name="Feb17" sheetId="60" state="hidden" r:id="rId4"/>
    <sheet name="Mar17" sheetId="61" state="hidden" r:id="rId5"/>
    <sheet name="Apr17" sheetId="62" state="hidden" r:id="rId6"/>
    <sheet name="May17" sheetId="63" state="hidden" r:id="rId7"/>
    <sheet name="Jun17" sheetId="64" state="hidden" r:id="rId8"/>
    <sheet name="Jul17" sheetId="65" state="hidden" r:id="rId9"/>
    <sheet name="Aug17" sheetId="66" state="hidden" r:id="rId10"/>
    <sheet name="Sep17" sheetId="67" state="hidden" r:id="rId11"/>
    <sheet name="Oct17" sheetId="68" state="hidden" r:id="rId12"/>
    <sheet name="Nov17" sheetId="69" state="hidden" r:id="rId13"/>
    <sheet name="Dec17" sheetId="70" state="hidden" r:id="rId14"/>
    <sheet name="Jan-16" sheetId="45" state="hidden" r:id="rId15"/>
    <sheet name="Feb-16" sheetId="46" state="hidden" r:id="rId16"/>
    <sheet name="Mar16" sheetId="47" state="hidden" r:id="rId17"/>
    <sheet name="Apr16" sheetId="49" state="hidden" r:id="rId18"/>
    <sheet name="May16" sheetId="50" state="hidden" r:id="rId19"/>
    <sheet name="Jun16" sheetId="51" state="hidden" r:id="rId20"/>
    <sheet name="Jul16" sheetId="52" state="hidden" r:id="rId21"/>
    <sheet name="Aug16" sheetId="53" state="hidden" r:id="rId22"/>
    <sheet name="Sept16" sheetId="54" state="hidden" r:id="rId23"/>
    <sheet name="Oct16" sheetId="55" state="hidden" r:id="rId24"/>
    <sheet name="Nov16" sheetId="56" state="hidden" r:id="rId25"/>
    <sheet name="Jan-15" sheetId="25" state="hidden" r:id="rId26"/>
    <sheet name="Feb-15" sheetId="28" state="hidden" r:id="rId27"/>
    <sheet name="Mar-15" sheetId="29" state="hidden" r:id="rId28"/>
    <sheet name="New recurring revenue by month" sheetId="18" state="hidden" r:id="rId29"/>
    <sheet name="Lost Registries" sheetId="19" state="hidden" r:id="rId30"/>
    <sheet name="Apr-15" sheetId="30" state="hidden" r:id="rId31"/>
    <sheet name="May-15" sheetId="31" state="hidden" r:id="rId32"/>
    <sheet name="Jun-15" sheetId="32" state="hidden" r:id="rId33"/>
    <sheet name="Jul-15" sheetId="33" state="hidden" r:id="rId34"/>
    <sheet name="Aug-15" sheetId="34" state="hidden" r:id="rId35"/>
    <sheet name="Sep-15" sheetId="35" state="hidden" r:id="rId36"/>
    <sheet name="Oct-15" sheetId="36" state="hidden" r:id="rId37"/>
    <sheet name="Nov-15" sheetId="37" state="hidden" r:id="rId38"/>
    <sheet name="Dec-15" sheetId="38" state="hidden" r:id="rId39"/>
    <sheet name="Terminated contracts" sheetId="21" state="hidden" r:id="rId40"/>
  </sheets>
  <definedNames>
    <definedName name="_xlnm._FilterDatabase" localSheetId="1" hidden="1">'VQI Participants'!$A$1:$E$514</definedName>
  </definedNames>
  <calcPr calcId="179017" concurrentCalc="0"/>
</workbook>
</file>

<file path=xl/calcChain.xml><?xml version="1.0" encoding="utf-8"?>
<calcChain xmlns="http://schemas.openxmlformats.org/spreadsheetml/2006/main">
  <c r="H133" i="70" l="1"/>
  <c r="G133" i="70"/>
  <c r="F40" i="70"/>
  <c r="J40" i="70"/>
  <c r="J88" i="70"/>
  <c r="F88" i="70"/>
  <c r="G77" i="70"/>
  <c r="H77" i="70"/>
  <c r="G78" i="70"/>
  <c r="H78" i="70"/>
  <c r="G79" i="70"/>
  <c r="H79" i="70"/>
  <c r="G80" i="70"/>
  <c r="H80" i="70"/>
  <c r="G81" i="70"/>
  <c r="H81" i="70"/>
  <c r="G82" i="70"/>
  <c r="H82" i="70"/>
  <c r="G83" i="70"/>
  <c r="H83" i="70"/>
  <c r="G84" i="70"/>
  <c r="H84" i="70"/>
  <c r="G85" i="70"/>
  <c r="H85" i="70"/>
  <c r="G86" i="70"/>
  <c r="H86" i="70"/>
  <c r="Z96" i="70"/>
  <c r="Z97" i="70"/>
  <c r="Z92" i="70"/>
  <c r="Z93" i="70"/>
  <c r="Z98" i="70"/>
  <c r="Z99" i="70"/>
  <c r="Z94" i="70"/>
  <c r="K82" i="68"/>
  <c r="K94" i="68"/>
  <c r="K105" i="68"/>
  <c r="K118" i="68"/>
  <c r="K125" i="68"/>
  <c r="L82" i="68"/>
  <c r="L94" i="68"/>
  <c r="L105" i="68"/>
  <c r="L118" i="68"/>
  <c r="L125" i="68"/>
  <c r="M82" i="68"/>
  <c r="M94" i="68"/>
  <c r="M105" i="68"/>
  <c r="M118" i="68"/>
  <c r="M125" i="68"/>
  <c r="N82" i="68"/>
  <c r="N94" i="68"/>
  <c r="N105" i="68"/>
  <c r="N118" i="68"/>
  <c r="N125" i="68"/>
  <c r="O82" i="68"/>
  <c r="O94" i="68"/>
  <c r="O105" i="68"/>
  <c r="O118" i="68"/>
  <c r="O125" i="68"/>
  <c r="P82" i="68"/>
  <c r="P94" i="68"/>
  <c r="P105" i="68"/>
  <c r="P118" i="68"/>
  <c r="P125" i="68"/>
  <c r="Q82" i="68"/>
  <c r="Q94" i="68"/>
  <c r="Q105" i="68"/>
  <c r="Q118" i="68"/>
  <c r="Q125" i="68"/>
  <c r="R82" i="68"/>
  <c r="R94" i="68"/>
  <c r="R105" i="68"/>
  <c r="R118" i="68"/>
  <c r="R125" i="68"/>
  <c r="S82" i="68"/>
  <c r="S94" i="68"/>
  <c r="S105" i="68"/>
  <c r="S118" i="68"/>
  <c r="S125" i="68"/>
  <c r="T82" i="68"/>
  <c r="T94" i="68"/>
  <c r="T105" i="68"/>
  <c r="T118" i="68"/>
  <c r="T125" i="68"/>
  <c r="U82" i="68"/>
  <c r="U94" i="68"/>
  <c r="U105" i="68"/>
  <c r="U118" i="68"/>
  <c r="U125" i="68"/>
  <c r="V82" i="68"/>
  <c r="V94" i="68"/>
  <c r="V105" i="68"/>
  <c r="V118" i="68"/>
  <c r="V125" i="68"/>
  <c r="W82" i="68"/>
  <c r="W94" i="68"/>
  <c r="W105" i="68"/>
  <c r="W118" i="68"/>
  <c r="W125" i="68"/>
  <c r="Z5" i="66"/>
  <c r="Z6" i="66"/>
  <c r="Z7" i="66"/>
  <c r="Z8" i="66"/>
  <c r="Z9" i="66"/>
  <c r="Z10" i="66"/>
  <c r="Z11" i="66"/>
  <c r="Z12" i="66"/>
  <c r="Z13" i="66"/>
  <c r="Z14" i="66"/>
  <c r="Z15" i="66"/>
  <c r="Z16" i="66"/>
  <c r="Z17" i="66"/>
  <c r="Z18" i="66"/>
  <c r="Z19" i="66"/>
  <c r="Z20" i="66"/>
  <c r="Z21" i="66"/>
  <c r="Z22" i="66"/>
  <c r="Z23" i="66"/>
  <c r="Z24" i="66"/>
  <c r="Z25" i="66"/>
  <c r="Z26" i="66"/>
  <c r="Z27" i="66"/>
  <c r="Z28" i="66"/>
  <c r="Z29" i="66"/>
  <c r="Z30" i="66"/>
  <c r="Z31" i="66"/>
  <c r="Z32" i="66"/>
  <c r="Z33" i="66"/>
  <c r="Z34" i="66"/>
  <c r="Z35" i="66"/>
  <c r="Z36" i="66"/>
  <c r="Z37" i="66"/>
  <c r="Z38" i="66"/>
  <c r="Z39" i="66"/>
  <c r="Z40" i="66"/>
  <c r="Z41" i="66"/>
  <c r="Z42" i="66"/>
  <c r="Z43" i="66"/>
  <c r="Z44" i="66"/>
  <c r="Z45" i="66"/>
  <c r="Z46" i="66"/>
  <c r="Z47" i="66"/>
  <c r="Z48" i="66"/>
  <c r="Z49" i="66"/>
  <c r="Z50" i="66"/>
  <c r="Z51" i="66"/>
  <c r="Z52" i="66"/>
  <c r="Z53" i="66"/>
  <c r="Z54" i="66"/>
  <c r="Z55" i="66"/>
  <c r="Z56" i="66"/>
  <c r="Z57" i="66"/>
  <c r="Z58" i="66"/>
  <c r="Z59" i="66"/>
  <c r="Z60" i="66"/>
  <c r="Z61" i="66"/>
  <c r="Z62" i="66"/>
  <c r="Z63" i="66"/>
  <c r="Z64" i="66"/>
  <c r="Z65" i="66"/>
  <c r="Z66" i="66"/>
  <c r="Z67" i="66"/>
  <c r="Z68" i="66"/>
  <c r="Z69" i="66"/>
  <c r="Z70" i="66"/>
  <c r="Z71" i="66"/>
  <c r="Z72" i="66"/>
  <c r="Z73" i="66"/>
  <c r="Z74" i="66"/>
  <c r="Z75" i="66"/>
  <c r="Z76" i="66"/>
  <c r="Z77" i="66"/>
  <c r="Z78" i="66"/>
  <c r="Z79" i="66"/>
  <c r="Z80" i="66"/>
  <c r="Z81" i="66"/>
  <c r="Z82" i="66"/>
  <c r="Z87" i="66"/>
  <c r="Z88" i="66"/>
  <c r="Z89" i="66"/>
  <c r="Z90" i="66"/>
  <c r="Z91" i="66"/>
  <c r="Z92" i="66"/>
  <c r="Z93" i="66"/>
  <c r="Z94" i="66"/>
  <c r="Z99" i="66"/>
  <c r="Z100" i="66"/>
  <c r="Z101" i="66"/>
  <c r="Z102" i="66"/>
  <c r="Z111" i="66"/>
  <c r="Z112" i="66"/>
  <c r="Z113" i="66"/>
  <c r="Z114" i="66"/>
  <c r="Z115" i="66"/>
  <c r="Z116" i="66"/>
  <c r="Z117" i="66"/>
  <c r="Z118" i="66"/>
  <c r="Z119" i="66"/>
  <c r="Z124" i="66"/>
  <c r="Z125" i="66"/>
  <c r="Z126" i="66"/>
  <c r="Z5" i="67"/>
  <c r="Z6" i="67"/>
  <c r="Z7" i="67"/>
  <c r="Z8" i="67"/>
  <c r="Z9" i="67"/>
  <c r="Z10" i="67"/>
  <c r="Z11" i="67"/>
  <c r="Z12" i="67"/>
  <c r="Z13" i="67"/>
  <c r="Z14" i="67"/>
  <c r="Z15" i="67"/>
  <c r="Z16" i="67"/>
  <c r="Z17" i="67"/>
  <c r="Z18" i="67"/>
  <c r="Z19" i="67"/>
  <c r="Z20" i="67"/>
  <c r="Z21" i="67"/>
  <c r="Z22" i="67"/>
  <c r="Z23" i="67"/>
  <c r="Z24" i="67"/>
  <c r="Z25" i="67"/>
  <c r="Z26" i="67"/>
  <c r="Z27" i="67"/>
  <c r="Z28" i="67"/>
  <c r="Z29" i="67"/>
  <c r="Z30" i="67"/>
  <c r="Z31" i="67"/>
  <c r="Z32" i="67"/>
  <c r="Z33" i="67"/>
  <c r="Z34" i="67"/>
  <c r="Z35" i="67"/>
  <c r="Z36" i="67"/>
  <c r="Z37" i="67"/>
  <c r="Z38" i="67"/>
  <c r="Z39" i="67"/>
  <c r="Z40" i="67"/>
  <c r="Z41" i="67"/>
  <c r="Z42" i="67"/>
  <c r="Z43" i="67"/>
  <c r="Z44" i="67"/>
  <c r="Z45" i="67"/>
  <c r="Z46" i="67"/>
  <c r="Z47" i="67"/>
  <c r="Z48" i="67"/>
  <c r="Z49" i="67"/>
  <c r="Z50" i="67"/>
  <c r="Z51" i="67"/>
  <c r="Z52" i="67"/>
  <c r="Z53" i="67"/>
  <c r="Z54" i="67"/>
  <c r="Z55" i="67"/>
  <c r="Z56" i="67"/>
  <c r="Z57" i="67"/>
  <c r="Z58" i="67"/>
  <c r="Z59" i="67"/>
  <c r="Z60" i="67"/>
  <c r="Z61" i="67"/>
  <c r="Z62" i="67"/>
  <c r="Z63" i="67"/>
  <c r="Z64" i="67"/>
  <c r="Z65" i="67"/>
  <c r="Z66" i="67"/>
  <c r="Z67" i="67"/>
  <c r="Z68" i="67"/>
  <c r="Z69" i="67"/>
  <c r="Z70" i="67"/>
  <c r="Z71" i="67"/>
  <c r="Z72" i="67"/>
  <c r="Z73" i="67"/>
  <c r="Z74" i="67"/>
  <c r="Z75" i="67"/>
  <c r="Z76" i="67"/>
  <c r="Z77" i="67"/>
  <c r="Z78" i="67"/>
  <c r="Z79" i="67"/>
  <c r="Z80" i="67"/>
  <c r="Z81" i="67"/>
  <c r="Z82" i="67"/>
  <c r="Z87" i="67"/>
  <c r="Z88" i="67"/>
  <c r="Z89" i="67"/>
  <c r="Z90" i="67"/>
  <c r="Z91" i="67"/>
  <c r="Z92" i="67"/>
  <c r="Z93" i="67"/>
  <c r="Z94" i="67"/>
  <c r="Z95" i="67"/>
  <c r="Z100" i="67"/>
  <c r="Z101" i="67"/>
  <c r="Z102" i="67"/>
  <c r="Z112" i="67"/>
  <c r="Z113" i="67"/>
  <c r="Z114" i="67"/>
  <c r="Z115" i="67"/>
  <c r="Z116" i="67"/>
  <c r="Z117" i="67"/>
  <c r="Z118" i="67"/>
  <c r="Z119" i="67"/>
  <c r="Z120" i="67"/>
  <c r="Z125" i="67"/>
  <c r="Z126" i="67"/>
  <c r="Z127" i="67"/>
  <c r="Z5" i="68"/>
  <c r="Z6" i="68"/>
  <c r="Z7" i="68"/>
  <c r="Z8" i="68"/>
  <c r="Z9" i="68"/>
  <c r="Z10" i="68"/>
  <c r="Z11" i="68"/>
  <c r="Z12" i="68"/>
  <c r="Z13" i="68"/>
  <c r="Z14" i="68"/>
  <c r="Z15" i="68"/>
  <c r="Z16" i="68"/>
  <c r="Z17" i="68"/>
  <c r="Z18" i="68"/>
  <c r="Z19" i="68"/>
  <c r="Z20" i="68"/>
  <c r="Z21" i="68"/>
  <c r="Z22" i="68"/>
  <c r="Z23" i="68"/>
  <c r="Z24" i="68"/>
  <c r="Z25" i="68"/>
  <c r="Z26" i="68"/>
  <c r="Z27" i="68"/>
  <c r="Z28" i="68"/>
  <c r="Z29" i="68"/>
  <c r="Z30" i="68"/>
  <c r="Z31" i="68"/>
  <c r="Z32" i="68"/>
  <c r="Z33" i="68"/>
  <c r="Z34" i="68"/>
  <c r="Z35" i="68"/>
  <c r="Z36" i="68"/>
  <c r="Z37" i="68"/>
  <c r="Z38" i="68"/>
  <c r="Z39" i="68"/>
  <c r="Z40" i="68"/>
  <c r="Z41" i="68"/>
  <c r="Z42" i="68"/>
  <c r="Z43" i="68"/>
  <c r="Z44" i="68"/>
  <c r="Z45" i="68"/>
  <c r="Z46" i="68"/>
  <c r="Z47" i="68"/>
  <c r="Z48" i="68"/>
  <c r="Z49" i="68"/>
  <c r="Z50" i="68"/>
  <c r="Z51" i="68"/>
  <c r="Z52" i="68"/>
  <c r="Z53" i="68"/>
  <c r="Z54" i="68"/>
  <c r="Z55" i="68"/>
  <c r="Z56" i="68"/>
  <c r="Z57" i="68"/>
  <c r="Z58" i="68"/>
  <c r="Z59" i="68"/>
  <c r="Z60" i="68"/>
  <c r="Z61" i="68"/>
  <c r="Z62" i="68"/>
  <c r="Z63" i="68"/>
  <c r="Z64" i="68"/>
  <c r="Z65" i="68"/>
  <c r="Z66" i="68"/>
  <c r="Z67" i="68"/>
  <c r="Z68" i="68"/>
  <c r="Z69" i="68"/>
  <c r="Z70" i="68"/>
  <c r="Z71" i="68"/>
  <c r="Z72" i="68"/>
  <c r="Z73" i="68"/>
  <c r="Z74" i="68"/>
  <c r="Z75" i="68"/>
  <c r="Z76" i="68"/>
  <c r="Z77" i="68"/>
  <c r="Z78" i="68"/>
  <c r="Z79" i="68"/>
  <c r="Z80" i="68"/>
  <c r="Z81" i="68"/>
  <c r="Z86" i="68"/>
  <c r="Z90" i="68"/>
  <c r="Z91" i="68"/>
  <c r="Z92" i="68"/>
  <c r="Z93" i="68"/>
  <c r="Z98" i="68"/>
  <c r="Z99" i="68"/>
  <c r="Z100" i="68"/>
  <c r="Z101" i="68"/>
  <c r="Z102" i="68"/>
  <c r="Z103" i="68"/>
  <c r="Z104" i="68"/>
  <c r="Z109" i="68"/>
  <c r="Z110" i="68"/>
  <c r="Z111" i="68"/>
  <c r="Z112" i="68"/>
  <c r="Z113" i="68"/>
  <c r="Z114" i="68"/>
  <c r="Z115" i="68"/>
  <c r="Z116" i="68"/>
  <c r="Z117" i="68"/>
  <c r="Z122" i="68"/>
  <c r="Z123" i="68"/>
  <c r="Z124" i="68"/>
  <c r="H24" i="28"/>
  <c r="D5" i="28"/>
  <c r="H5" i="28"/>
  <c r="H6" i="28"/>
  <c r="H7" i="28"/>
  <c r="H8" i="28"/>
  <c r="H9" i="28"/>
  <c r="H10" i="28"/>
  <c r="H11" i="28"/>
  <c r="H12" i="28"/>
  <c r="H13" i="28"/>
  <c r="H14" i="28"/>
  <c r="H32" i="28"/>
  <c r="H36" i="28"/>
  <c r="H41" i="28"/>
  <c r="H48" i="28"/>
  <c r="H37" i="37"/>
  <c r="H41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54" i="37"/>
  <c r="H61" i="37"/>
  <c r="H68" i="37"/>
  <c r="H100" i="38"/>
  <c r="H111" i="38"/>
  <c r="H112" i="38"/>
  <c r="H129" i="38"/>
  <c r="H139" i="38"/>
  <c r="H143" i="38"/>
  <c r="H5" i="38"/>
  <c r="H6" i="38"/>
  <c r="H7" i="38"/>
  <c r="H8" i="38"/>
  <c r="F9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F47" i="38"/>
  <c r="H47" i="38"/>
  <c r="F48" i="38"/>
  <c r="H48" i="38"/>
  <c r="H49" i="38"/>
  <c r="H50" i="38"/>
  <c r="H51" i="38"/>
  <c r="F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F70" i="38"/>
  <c r="D70" i="38"/>
  <c r="H71" i="38"/>
  <c r="F72" i="38"/>
  <c r="H72" i="38"/>
  <c r="H73" i="38"/>
  <c r="H74" i="38"/>
  <c r="H75" i="38"/>
  <c r="H76" i="38"/>
  <c r="H77" i="38"/>
  <c r="H78" i="38"/>
  <c r="H79" i="38"/>
  <c r="H80" i="38"/>
  <c r="H81" i="38"/>
  <c r="H84" i="38"/>
  <c r="H85" i="38"/>
  <c r="H96" i="45"/>
  <c r="H5" i="45"/>
  <c r="H6" i="45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F20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F44" i="45"/>
  <c r="H44" i="45"/>
  <c r="H45" i="45"/>
  <c r="H46" i="45"/>
  <c r="H47" i="45"/>
  <c r="H48" i="45"/>
  <c r="H49" i="45"/>
  <c r="H50" i="45"/>
  <c r="H51" i="45"/>
  <c r="H52" i="45"/>
  <c r="H53" i="45"/>
  <c r="H54" i="45"/>
  <c r="H55" i="45"/>
  <c r="H56" i="45"/>
  <c r="H57" i="45"/>
  <c r="H58" i="45"/>
  <c r="H59" i="45"/>
  <c r="H60" i="45"/>
  <c r="F61" i="45"/>
  <c r="J61" i="45"/>
  <c r="F62" i="45"/>
  <c r="H62" i="45"/>
  <c r="F63" i="45"/>
  <c r="J63" i="45"/>
  <c r="F64" i="45"/>
  <c r="H64" i="45"/>
  <c r="F65" i="45"/>
  <c r="H65" i="45"/>
  <c r="F66" i="45"/>
  <c r="H66" i="45"/>
  <c r="F67" i="45"/>
  <c r="J67" i="45"/>
  <c r="F68" i="45"/>
  <c r="H68" i="45"/>
  <c r="F69" i="45"/>
  <c r="J69" i="45"/>
  <c r="H70" i="45"/>
  <c r="H71" i="45"/>
  <c r="H72" i="45"/>
  <c r="H73" i="45"/>
  <c r="H74" i="45"/>
  <c r="F75" i="45"/>
  <c r="H75" i="45"/>
  <c r="H76" i="45"/>
  <c r="H77" i="45"/>
  <c r="H78" i="45"/>
  <c r="H79" i="45"/>
  <c r="H80" i="45"/>
  <c r="H81" i="45"/>
  <c r="H82" i="45"/>
  <c r="H83" i="45"/>
  <c r="H108" i="45"/>
  <c r="H116" i="45"/>
  <c r="H123" i="45"/>
  <c r="H89" i="46"/>
  <c r="H96" i="46"/>
  <c r="H5" i="46"/>
  <c r="H6" i="46"/>
  <c r="H7" i="46"/>
  <c r="H8" i="46"/>
  <c r="H9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58" i="46"/>
  <c r="H59" i="46"/>
  <c r="H60" i="46"/>
  <c r="H61" i="46"/>
  <c r="H62" i="46"/>
  <c r="H63" i="46"/>
  <c r="H64" i="46"/>
  <c r="H65" i="46"/>
  <c r="H66" i="46"/>
  <c r="H67" i="46"/>
  <c r="H68" i="46"/>
  <c r="H69" i="46"/>
  <c r="H70" i="46"/>
  <c r="H71" i="46"/>
  <c r="H72" i="46"/>
  <c r="H73" i="46"/>
  <c r="H74" i="46"/>
  <c r="H75" i="46"/>
  <c r="H76" i="46"/>
  <c r="H77" i="46"/>
  <c r="H78" i="46"/>
  <c r="H79" i="46"/>
  <c r="H80" i="46"/>
  <c r="H81" i="46"/>
  <c r="H82" i="46"/>
  <c r="H83" i="46"/>
  <c r="H108" i="46"/>
  <c r="H112" i="46"/>
  <c r="H114" i="46"/>
  <c r="H123" i="46"/>
  <c r="H91" i="47"/>
  <c r="H96" i="47"/>
  <c r="H5" i="47"/>
  <c r="H6" i="47"/>
  <c r="H7" i="47"/>
  <c r="H8" i="47"/>
  <c r="H9" i="47"/>
  <c r="F10" i="47"/>
  <c r="H10" i="47"/>
  <c r="H11" i="47"/>
  <c r="H12" i="47"/>
  <c r="H13" i="47"/>
  <c r="H14" i="47"/>
  <c r="H15" i="47"/>
  <c r="H16" i="47"/>
  <c r="H17" i="47"/>
  <c r="H18" i="47"/>
  <c r="H19" i="47"/>
  <c r="J19" i="47"/>
  <c r="J84" i="47"/>
  <c r="H20" i="47"/>
  <c r="H21" i="47"/>
  <c r="H22" i="47"/>
  <c r="H23" i="47"/>
  <c r="H24" i="47"/>
  <c r="D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108" i="47"/>
  <c r="H112" i="47"/>
  <c r="H115" i="47"/>
  <c r="H122" i="47"/>
  <c r="H96" i="49"/>
  <c r="H5" i="49"/>
  <c r="H6" i="49"/>
  <c r="H7" i="49"/>
  <c r="H8" i="49"/>
  <c r="H9" i="49"/>
  <c r="H10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43" i="49"/>
  <c r="H44" i="49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59" i="49"/>
  <c r="H60" i="49"/>
  <c r="H61" i="49"/>
  <c r="H62" i="49"/>
  <c r="H63" i="49"/>
  <c r="H64" i="49"/>
  <c r="H65" i="49"/>
  <c r="H66" i="49"/>
  <c r="H67" i="49"/>
  <c r="H68" i="49"/>
  <c r="H69" i="49"/>
  <c r="H70" i="49"/>
  <c r="H71" i="49"/>
  <c r="H72" i="49"/>
  <c r="H73" i="49"/>
  <c r="H74" i="49"/>
  <c r="H75" i="49"/>
  <c r="H76" i="49"/>
  <c r="H77" i="49"/>
  <c r="H78" i="49"/>
  <c r="H79" i="49"/>
  <c r="H80" i="49"/>
  <c r="H81" i="49"/>
  <c r="H82" i="49"/>
  <c r="H83" i="49"/>
  <c r="H108" i="49"/>
  <c r="H115" i="49"/>
  <c r="H125" i="49"/>
  <c r="H96" i="50"/>
  <c r="H5" i="50"/>
  <c r="H6" i="50"/>
  <c r="H7" i="50"/>
  <c r="H8" i="50"/>
  <c r="H9" i="50"/>
  <c r="H10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H47" i="50"/>
  <c r="H48" i="50"/>
  <c r="H49" i="50"/>
  <c r="H50" i="50"/>
  <c r="H51" i="50"/>
  <c r="H52" i="50"/>
  <c r="H53" i="50"/>
  <c r="H54" i="50"/>
  <c r="H55" i="50"/>
  <c r="H56" i="50"/>
  <c r="H57" i="50"/>
  <c r="H58" i="50"/>
  <c r="H59" i="50"/>
  <c r="H60" i="50"/>
  <c r="H61" i="50"/>
  <c r="H62" i="50"/>
  <c r="H63" i="50"/>
  <c r="H64" i="50"/>
  <c r="H65" i="50"/>
  <c r="H66" i="50"/>
  <c r="H67" i="50"/>
  <c r="H68" i="50"/>
  <c r="H69" i="50"/>
  <c r="H70" i="50"/>
  <c r="H71" i="50"/>
  <c r="H72" i="50"/>
  <c r="H73" i="50"/>
  <c r="H74" i="50"/>
  <c r="H75" i="50"/>
  <c r="H76" i="50"/>
  <c r="H77" i="50"/>
  <c r="H78" i="50"/>
  <c r="H79" i="50"/>
  <c r="H80" i="50"/>
  <c r="H81" i="50"/>
  <c r="H82" i="50"/>
  <c r="H83" i="50"/>
  <c r="H108" i="50"/>
  <c r="H115" i="50"/>
  <c r="H125" i="50"/>
  <c r="H89" i="51"/>
  <c r="H96" i="51"/>
  <c r="F5" i="51"/>
  <c r="H5" i="51"/>
  <c r="H6" i="51"/>
  <c r="H7" i="51"/>
  <c r="H8" i="51"/>
  <c r="H9" i="51"/>
  <c r="H10" i="51"/>
  <c r="H11" i="51"/>
  <c r="F12" i="51"/>
  <c r="H12" i="51"/>
  <c r="H13" i="51"/>
  <c r="F14" i="51"/>
  <c r="H14" i="51"/>
  <c r="H15" i="51"/>
  <c r="H16" i="51"/>
  <c r="H17" i="51"/>
  <c r="H18" i="51"/>
  <c r="F19" i="51"/>
  <c r="F20" i="51"/>
  <c r="J20" i="51"/>
  <c r="F21" i="51"/>
  <c r="J21" i="51"/>
  <c r="F22" i="51"/>
  <c r="H22" i="51"/>
  <c r="F23" i="51"/>
  <c r="F24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38" i="51"/>
  <c r="H39" i="51"/>
  <c r="H40" i="51"/>
  <c r="H41" i="51"/>
  <c r="H42" i="51"/>
  <c r="H43" i="51"/>
  <c r="H44" i="51"/>
  <c r="H45" i="51"/>
  <c r="H46" i="51"/>
  <c r="H47" i="51"/>
  <c r="H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100" i="51"/>
  <c r="H102" i="51"/>
  <c r="J102" i="51"/>
  <c r="H107" i="51"/>
  <c r="H115" i="51"/>
  <c r="H122" i="51"/>
  <c r="H88" i="52"/>
  <c r="H96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108" i="52"/>
  <c r="H115" i="52"/>
  <c r="H122" i="52"/>
  <c r="H89" i="53"/>
  <c r="H96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100" i="53"/>
  <c r="H115" i="53"/>
  <c r="H122" i="53"/>
  <c r="H86" i="54"/>
  <c r="H88" i="54"/>
  <c r="H5" i="54"/>
  <c r="F6" i="54"/>
  <c r="H6" i="54"/>
  <c r="F7" i="54"/>
  <c r="H7" i="54"/>
  <c r="H8" i="54"/>
  <c r="H9" i="54"/>
  <c r="H10" i="54"/>
  <c r="H11" i="54"/>
  <c r="F12" i="54"/>
  <c r="H12" i="54"/>
  <c r="F13" i="54"/>
  <c r="F14" i="54"/>
  <c r="H14" i="54"/>
  <c r="F15" i="54"/>
  <c r="F16" i="54"/>
  <c r="H16" i="54"/>
  <c r="F17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48" i="54"/>
  <c r="H49" i="54"/>
  <c r="H50" i="54"/>
  <c r="H51" i="54"/>
  <c r="H52" i="54"/>
  <c r="H53" i="54"/>
  <c r="H54" i="54"/>
  <c r="H55" i="54"/>
  <c r="H56" i="54"/>
  <c r="H57" i="54"/>
  <c r="H58" i="54"/>
  <c r="H59" i="54"/>
  <c r="H60" i="54"/>
  <c r="H61" i="54"/>
  <c r="H62" i="54"/>
  <c r="H63" i="54"/>
  <c r="H64" i="54"/>
  <c r="H65" i="54"/>
  <c r="H66" i="54"/>
  <c r="H67" i="54"/>
  <c r="H68" i="54"/>
  <c r="H69" i="54"/>
  <c r="H70" i="54"/>
  <c r="H71" i="54"/>
  <c r="H72" i="54"/>
  <c r="H73" i="54"/>
  <c r="H74" i="54"/>
  <c r="H75" i="54"/>
  <c r="H76" i="54"/>
  <c r="H77" i="54"/>
  <c r="H78" i="54"/>
  <c r="H79" i="54"/>
  <c r="H104" i="54"/>
  <c r="H111" i="54"/>
  <c r="H118" i="54"/>
  <c r="H89" i="55"/>
  <c r="F5" i="55"/>
  <c r="H5" i="55"/>
  <c r="H6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F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101" i="55"/>
  <c r="H108" i="55"/>
  <c r="H115" i="55"/>
  <c r="H88" i="56"/>
  <c r="H5" i="56"/>
  <c r="H6" i="56"/>
  <c r="H7" i="56"/>
  <c r="H8" i="56"/>
  <c r="H9" i="56"/>
  <c r="H10" i="56"/>
  <c r="H11" i="56"/>
  <c r="H12" i="56"/>
  <c r="H13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30" i="56"/>
  <c r="H31" i="56"/>
  <c r="H32" i="56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93" i="56"/>
  <c r="H100" i="56"/>
  <c r="H107" i="56"/>
  <c r="H120" i="56"/>
  <c r="H91" i="59"/>
  <c r="H95" i="59"/>
  <c r="H5" i="59"/>
  <c r="H6" i="59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F44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F81" i="59"/>
  <c r="H82" i="59"/>
  <c r="H83" i="59"/>
  <c r="H107" i="59"/>
  <c r="H114" i="59"/>
  <c r="H115" i="59"/>
  <c r="H116" i="59"/>
  <c r="H127" i="59"/>
  <c r="H96" i="60"/>
  <c r="H5" i="60"/>
  <c r="H6" i="60"/>
  <c r="H7" i="60"/>
  <c r="H8" i="60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105" i="60"/>
  <c r="H106" i="60"/>
  <c r="H122" i="60"/>
  <c r="H129" i="60"/>
  <c r="H89" i="61"/>
  <c r="H95" i="61"/>
  <c r="H5" i="61"/>
  <c r="H6" i="61"/>
  <c r="H7" i="61"/>
  <c r="H8" i="61"/>
  <c r="H9" i="61"/>
  <c r="H10" i="61"/>
  <c r="H11" i="6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107" i="61"/>
  <c r="H120" i="61"/>
  <c r="H129" i="61"/>
  <c r="H96" i="62"/>
  <c r="H5" i="62"/>
  <c r="H6" i="62"/>
  <c r="H7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39" i="62"/>
  <c r="H40" i="62"/>
  <c r="H41" i="62"/>
  <c r="H42" i="62"/>
  <c r="H43" i="62"/>
  <c r="H44" i="62"/>
  <c r="H45" i="62"/>
  <c r="H46" i="62"/>
  <c r="H47" i="62"/>
  <c r="H48" i="62"/>
  <c r="H49" i="62"/>
  <c r="H50" i="62"/>
  <c r="H51" i="62"/>
  <c r="H52" i="62"/>
  <c r="H53" i="62"/>
  <c r="H54" i="62"/>
  <c r="H55" i="62"/>
  <c r="H56" i="62"/>
  <c r="H57" i="62"/>
  <c r="H58" i="62"/>
  <c r="H59" i="62"/>
  <c r="H60" i="62"/>
  <c r="H61" i="62"/>
  <c r="H62" i="62"/>
  <c r="H63" i="62"/>
  <c r="H64" i="62"/>
  <c r="H65" i="62"/>
  <c r="H66" i="62"/>
  <c r="H67" i="62"/>
  <c r="H68" i="62"/>
  <c r="H69" i="62"/>
  <c r="H70" i="62"/>
  <c r="H71" i="62"/>
  <c r="H72" i="62"/>
  <c r="H73" i="62"/>
  <c r="H74" i="62"/>
  <c r="H75" i="62"/>
  <c r="H76" i="62"/>
  <c r="H77" i="62"/>
  <c r="H78" i="62"/>
  <c r="H79" i="62"/>
  <c r="H80" i="62"/>
  <c r="H81" i="62"/>
  <c r="H82" i="62"/>
  <c r="H83" i="62"/>
  <c r="H100" i="62"/>
  <c r="H108" i="62"/>
  <c r="H121" i="62"/>
  <c r="H128" i="62"/>
  <c r="H94" i="63"/>
  <c r="J94" i="63"/>
  <c r="H95" i="63"/>
  <c r="J95" i="63"/>
  <c r="H96" i="63"/>
  <c r="H97" i="63"/>
  <c r="H5" i="63"/>
  <c r="H6" i="63"/>
  <c r="H7" i="63"/>
  <c r="H8" i="63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102" i="63"/>
  <c r="H110" i="63"/>
  <c r="H123" i="63"/>
  <c r="H132" i="63"/>
  <c r="H90" i="64"/>
  <c r="H91" i="64"/>
  <c r="H5" i="64"/>
  <c r="H6" i="64"/>
  <c r="H7" i="64"/>
  <c r="H8" i="64"/>
  <c r="H9" i="64"/>
  <c r="H10" i="64"/>
  <c r="H11" i="64"/>
  <c r="F12" i="64"/>
  <c r="H12" i="64"/>
  <c r="H13" i="64"/>
  <c r="F14" i="64"/>
  <c r="H14" i="64"/>
  <c r="H15" i="64"/>
  <c r="H16" i="64"/>
  <c r="H17" i="64"/>
  <c r="H18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H38" i="64"/>
  <c r="F39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101" i="64"/>
  <c r="H107" i="64"/>
  <c r="H120" i="64"/>
  <c r="H127" i="64"/>
  <c r="H96" i="65"/>
  <c r="H5" i="65"/>
  <c r="H6" i="65"/>
  <c r="H7" i="65"/>
  <c r="H8" i="65"/>
  <c r="H9" i="65"/>
  <c r="H10" i="65"/>
  <c r="H11" i="65"/>
  <c r="H12" i="65"/>
  <c r="H13" i="65"/>
  <c r="F14" i="65"/>
  <c r="H14" i="65"/>
  <c r="F15" i="65"/>
  <c r="H16" i="65"/>
  <c r="H17" i="65"/>
  <c r="H18" i="65"/>
  <c r="F19" i="65"/>
  <c r="H19" i="65"/>
  <c r="F20" i="65"/>
  <c r="H20" i="65"/>
  <c r="H21" i="65"/>
  <c r="H22" i="65"/>
  <c r="H23" i="65"/>
  <c r="H24" i="65"/>
  <c r="H25" i="65"/>
  <c r="H26" i="65"/>
  <c r="H27" i="65"/>
  <c r="F28" i="65"/>
  <c r="H28" i="65"/>
  <c r="H29" i="65"/>
  <c r="H30" i="65"/>
  <c r="F31" i="65"/>
  <c r="H31" i="65"/>
  <c r="H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108" i="65"/>
  <c r="H113" i="65"/>
  <c r="J113" i="65"/>
  <c r="H114" i="65"/>
  <c r="H116" i="65"/>
  <c r="H117" i="65"/>
  <c r="H118" i="65"/>
  <c r="H119" i="65"/>
  <c r="H95" i="66"/>
  <c r="H5" i="66"/>
  <c r="H6" i="66"/>
  <c r="H7" i="66"/>
  <c r="H8" i="66"/>
  <c r="H9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H28" i="66"/>
  <c r="H29" i="66"/>
  <c r="H30" i="66"/>
  <c r="H31" i="66"/>
  <c r="H32" i="66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99" i="66"/>
  <c r="H107" i="66"/>
  <c r="H120" i="66"/>
  <c r="H127" i="66"/>
  <c r="H96" i="67"/>
  <c r="H5" i="67"/>
  <c r="H6" i="67"/>
  <c r="H7" i="67"/>
  <c r="H8" i="67"/>
  <c r="H9" i="67"/>
  <c r="H10" i="67"/>
  <c r="H11" i="67"/>
  <c r="H12" i="67"/>
  <c r="H13" i="67"/>
  <c r="H14" i="67"/>
  <c r="H15" i="67"/>
  <c r="H16" i="67"/>
  <c r="H17" i="67"/>
  <c r="H18" i="67"/>
  <c r="H19" i="67"/>
  <c r="H20" i="67"/>
  <c r="H21" i="67"/>
  <c r="H22" i="67"/>
  <c r="H23" i="67"/>
  <c r="H24" i="67"/>
  <c r="H25" i="67"/>
  <c r="H26" i="67"/>
  <c r="H27" i="67"/>
  <c r="H28" i="67"/>
  <c r="H29" i="67"/>
  <c r="H30" i="67"/>
  <c r="H31" i="67"/>
  <c r="H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108" i="67"/>
  <c r="H112" i="67"/>
  <c r="H121" i="67"/>
  <c r="H128" i="67"/>
  <c r="H94" i="68"/>
  <c r="H5" i="68"/>
  <c r="H6" i="68"/>
  <c r="H7" i="68"/>
  <c r="H8" i="68"/>
  <c r="H9" i="68"/>
  <c r="H10" i="68"/>
  <c r="H11" i="68"/>
  <c r="H12" i="68"/>
  <c r="H13" i="68"/>
  <c r="H14" i="68"/>
  <c r="F15" i="68"/>
  <c r="H15" i="68"/>
  <c r="H16" i="68"/>
  <c r="H17" i="68"/>
  <c r="H18" i="68"/>
  <c r="H19" i="68"/>
  <c r="H20" i="68"/>
  <c r="H21" i="68"/>
  <c r="H22" i="68"/>
  <c r="H23" i="68"/>
  <c r="H24" i="68"/>
  <c r="H25" i="68"/>
  <c r="H26" i="68"/>
  <c r="H27" i="68"/>
  <c r="H28" i="68"/>
  <c r="H29" i="68"/>
  <c r="H30" i="68"/>
  <c r="D31" i="68"/>
  <c r="H32" i="68"/>
  <c r="H33" i="68"/>
  <c r="H34" i="68"/>
  <c r="H35" i="68"/>
  <c r="H36" i="68"/>
  <c r="H37" i="68"/>
  <c r="H38" i="68"/>
  <c r="H39" i="68"/>
  <c r="H40" i="68"/>
  <c r="F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101" i="68"/>
  <c r="H102" i="68"/>
  <c r="H111" i="68"/>
  <c r="H112" i="68"/>
  <c r="H125" i="68"/>
  <c r="J98" i="68"/>
  <c r="J110" i="68"/>
  <c r="G41" i="68"/>
  <c r="J102" i="68"/>
  <c r="J101" i="68"/>
  <c r="J112" i="68"/>
  <c r="J111" i="68"/>
  <c r="Y96" i="67"/>
  <c r="X96" i="67"/>
  <c r="W96" i="67"/>
  <c r="V96" i="67"/>
  <c r="U96" i="67"/>
  <c r="T96" i="67"/>
  <c r="S96" i="67"/>
  <c r="R96" i="67"/>
  <c r="Q96" i="67"/>
  <c r="P96" i="67"/>
  <c r="O96" i="67"/>
  <c r="N96" i="67"/>
  <c r="M96" i="67"/>
  <c r="L96" i="67"/>
  <c r="K96" i="67"/>
  <c r="J96" i="67"/>
  <c r="I96" i="67"/>
  <c r="G31" i="65"/>
  <c r="G30" i="65"/>
  <c r="G29" i="65"/>
  <c r="G28" i="65"/>
  <c r="G27" i="65"/>
  <c r="G26" i="65"/>
  <c r="G25" i="65"/>
  <c r="J118" i="65"/>
  <c r="J119" i="65"/>
  <c r="J117" i="65"/>
  <c r="J116" i="65"/>
  <c r="J114" i="65"/>
  <c r="Z25" i="65"/>
  <c r="Z91" i="65"/>
  <c r="J16" i="65"/>
  <c r="G14" i="65"/>
  <c r="G15" i="65"/>
  <c r="G16" i="65"/>
  <c r="Z90" i="65"/>
  <c r="Z89" i="65"/>
  <c r="Z106" i="64"/>
  <c r="Z105" i="64"/>
  <c r="Z104" i="64"/>
  <c r="Z103" i="64"/>
  <c r="Z102" i="64"/>
  <c r="Z101" i="64"/>
  <c r="Z90" i="64"/>
  <c r="Z89" i="64"/>
  <c r="Z88" i="64"/>
  <c r="J39" i="64"/>
  <c r="J84" i="64"/>
  <c r="W83" i="63"/>
  <c r="W98" i="63"/>
  <c r="W110" i="63"/>
  <c r="W123" i="63"/>
  <c r="W132" i="63"/>
  <c r="V83" i="63"/>
  <c r="V98" i="63"/>
  <c r="V110" i="63"/>
  <c r="V123" i="63"/>
  <c r="V132" i="63"/>
  <c r="U83" i="63"/>
  <c r="U98" i="63"/>
  <c r="U110" i="63"/>
  <c r="U123" i="63"/>
  <c r="U132" i="63"/>
  <c r="T83" i="63"/>
  <c r="T98" i="63"/>
  <c r="T110" i="63"/>
  <c r="T123" i="63"/>
  <c r="T132" i="63"/>
  <c r="S83" i="63"/>
  <c r="S98" i="63"/>
  <c r="S110" i="63"/>
  <c r="S123" i="63"/>
  <c r="S132" i="63"/>
  <c r="R83" i="63"/>
  <c r="R98" i="63"/>
  <c r="R110" i="63"/>
  <c r="R123" i="63"/>
  <c r="R132" i="63"/>
  <c r="Q83" i="63"/>
  <c r="Q98" i="63"/>
  <c r="Q110" i="63"/>
  <c r="Q123" i="63"/>
  <c r="Q132" i="63"/>
  <c r="P83" i="63"/>
  <c r="P98" i="63"/>
  <c r="P110" i="63"/>
  <c r="P123" i="63"/>
  <c r="P132" i="63"/>
  <c r="O83" i="63"/>
  <c r="O98" i="63"/>
  <c r="O110" i="63"/>
  <c r="O123" i="63"/>
  <c r="O132" i="63"/>
  <c r="N83" i="63"/>
  <c r="N98" i="63"/>
  <c r="N110" i="63"/>
  <c r="N123" i="63"/>
  <c r="N132" i="63"/>
  <c r="M83" i="63"/>
  <c r="M98" i="63"/>
  <c r="M110" i="63"/>
  <c r="M123" i="63"/>
  <c r="M132" i="63"/>
  <c r="L83" i="63"/>
  <c r="L98" i="63"/>
  <c r="L110" i="63"/>
  <c r="L123" i="63"/>
  <c r="L132" i="63"/>
  <c r="K83" i="63"/>
  <c r="K98" i="63"/>
  <c r="K110" i="63"/>
  <c r="K123" i="63"/>
  <c r="K132" i="63"/>
  <c r="Z5" i="59"/>
  <c r="Z6" i="59"/>
  <c r="Z7" i="59"/>
  <c r="Z8" i="59"/>
  <c r="Z9" i="59"/>
  <c r="Z10" i="59"/>
  <c r="Z11" i="59"/>
  <c r="Z12" i="59"/>
  <c r="Z13" i="59"/>
  <c r="Z14" i="59"/>
  <c r="Z15" i="59"/>
  <c r="Z16" i="59"/>
  <c r="Z17" i="59"/>
  <c r="Z18" i="59"/>
  <c r="Z19" i="59"/>
  <c r="Z20" i="59"/>
  <c r="Z21" i="59"/>
  <c r="Z22" i="59"/>
  <c r="Z23" i="59"/>
  <c r="Z24" i="59"/>
  <c r="Z25" i="59"/>
  <c r="Z26" i="59"/>
  <c r="Z27" i="59"/>
  <c r="Z28" i="59"/>
  <c r="Z29" i="59"/>
  <c r="Z30" i="59"/>
  <c r="Z31" i="59"/>
  <c r="Z32" i="59"/>
  <c r="Z33" i="59"/>
  <c r="Z34" i="59"/>
  <c r="Z35" i="59"/>
  <c r="Z36" i="59"/>
  <c r="Z37" i="59"/>
  <c r="Z38" i="59"/>
  <c r="Z39" i="59"/>
  <c r="Z40" i="59"/>
  <c r="Z41" i="59"/>
  <c r="Z42" i="59"/>
  <c r="Z43" i="59"/>
  <c r="Z44" i="59"/>
  <c r="Z45" i="59"/>
  <c r="Z46" i="59"/>
  <c r="Z47" i="59"/>
  <c r="Z48" i="59"/>
  <c r="Z49" i="59"/>
  <c r="Z50" i="59"/>
  <c r="Z51" i="59"/>
  <c r="Z52" i="59"/>
  <c r="Z53" i="59"/>
  <c r="Z54" i="59"/>
  <c r="Z55" i="59"/>
  <c r="Z56" i="59"/>
  <c r="Z57" i="59"/>
  <c r="Z58" i="59"/>
  <c r="Z59" i="59"/>
  <c r="Z60" i="59"/>
  <c r="Z61" i="59"/>
  <c r="Z62" i="59"/>
  <c r="Z63" i="59"/>
  <c r="Z64" i="59"/>
  <c r="Z65" i="59"/>
  <c r="Z66" i="59"/>
  <c r="Z67" i="59"/>
  <c r="Z68" i="59"/>
  <c r="Z69" i="59"/>
  <c r="Z70" i="59"/>
  <c r="Z71" i="59"/>
  <c r="Z72" i="59"/>
  <c r="Z73" i="59"/>
  <c r="Z74" i="59"/>
  <c r="Z75" i="59"/>
  <c r="Z76" i="59"/>
  <c r="Z77" i="59"/>
  <c r="Z78" i="59"/>
  <c r="Z79" i="59"/>
  <c r="Z80" i="59"/>
  <c r="Z81" i="59"/>
  <c r="Z82" i="59"/>
  <c r="Z83" i="59"/>
  <c r="Z88" i="59"/>
  <c r="Z89" i="59"/>
  <c r="Z90" i="59"/>
  <c r="Z91" i="59"/>
  <c r="Z92" i="59"/>
  <c r="Z93" i="59"/>
  <c r="Z94" i="59"/>
  <c r="Z99" i="59"/>
  <c r="Z100" i="59"/>
  <c r="Z101" i="59"/>
  <c r="Z102" i="59"/>
  <c r="Z103" i="59"/>
  <c r="Z104" i="59"/>
  <c r="Z105" i="59"/>
  <c r="Z111" i="59"/>
  <c r="Z112" i="59"/>
  <c r="Z113" i="59"/>
  <c r="Z114" i="59"/>
  <c r="Z115" i="59"/>
  <c r="Z116" i="59"/>
  <c r="Z117" i="59"/>
  <c r="Z118" i="59"/>
  <c r="Z119" i="59"/>
  <c r="Z124" i="59"/>
  <c r="Z125" i="59"/>
  <c r="Z126" i="59"/>
  <c r="Z5" i="60"/>
  <c r="Z6" i="60"/>
  <c r="Z7" i="60"/>
  <c r="Z8" i="60"/>
  <c r="Z9" i="60"/>
  <c r="Z10" i="60"/>
  <c r="Z11" i="60"/>
  <c r="Z12" i="60"/>
  <c r="Z13" i="60"/>
  <c r="Z14" i="60"/>
  <c r="Z15" i="60"/>
  <c r="Z16" i="60"/>
  <c r="Z17" i="60"/>
  <c r="Z18" i="60"/>
  <c r="Z19" i="60"/>
  <c r="Z20" i="60"/>
  <c r="Z21" i="60"/>
  <c r="Z22" i="60"/>
  <c r="Z23" i="60"/>
  <c r="Z24" i="60"/>
  <c r="Z25" i="60"/>
  <c r="Z26" i="60"/>
  <c r="Z27" i="60"/>
  <c r="Z28" i="60"/>
  <c r="Z29" i="60"/>
  <c r="Z30" i="60"/>
  <c r="Z31" i="60"/>
  <c r="Z32" i="60"/>
  <c r="Z33" i="60"/>
  <c r="Z34" i="60"/>
  <c r="Z35" i="60"/>
  <c r="Z36" i="60"/>
  <c r="Z37" i="60"/>
  <c r="Z38" i="60"/>
  <c r="Z39" i="60"/>
  <c r="Z40" i="60"/>
  <c r="Z41" i="60"/>
  <c r="Z42" i="60"/>
  <c r="Z43" i="60"/>
  <c r="Z44" i="60"/>
  <c r="Z45" i="60"/>
  <c r="Z46" i="60"/>
  <c r="Z47" i="60"/>
  <c r="Z48" i="60"/>
  <c r="Z49" i="60"/>
  <c r="Z50" i="60"/>
  <c r="Z51" i="60"/>
  <c r="Z52" i="60"/>
  <c r="Z53" i="60"/>
  <c r="Z54" i="60"/>
  <c r="Z55" i="60"/>
  <c r="Z56" i="60"/>
  <c r="Z57" i="60"/>
  <c r="Z58" i="60"/>
  <c r="Z59" i="60"/>
  <c r="Z60" i="60"/>
  <c r="Z61" i="60"/>
  <c r="Z62" i="60"/>
  <c r="Z63" i="60"/>
  <c r="Z64" i="60"/>
  <c r="Z65" i="60"/>
  <c r="Z66" i="60"/>
  <c r="Z67" i="60"/>
  <c r="Z68" i="60"/>
  <c r="Z69" i="60"/>
  <c r="Z70" i="60"/>
  <c r="Z71" i="60"/>
  <c r="Z72" i="60"/>
  <c r="Z73" i="60"/>
  <c r="Z74" i="60"/>
  <c r="Z75" i="60"/>
  <c r="Z76" i="60"/>
  <c r="Z77" i="60"/>
  <c r="Z78" i="60"/>
  <c r="Z79" i="60"/>
  <c r="Z80" i="60"/>
  <c r="Z81" i="60"/>
  <c r="Z82" i="60"/>
  <c r="Z83" i="60"/>
  <c r="Z88" i="60"/>
  <c r="Z89" i="60"/>
  <c r="Z90" i="60"/>
  <c r="Z91" i="60"/>
  <c r="Z92" i="60"/>
  <c r="Z93" i="60"/>
  <c r="Z94" i="60"/>
  <c r="Z95" i="60"/>
  <c r="Z100" i="60"/>
  <c r="Z101" i="60"/>
  <c r="Z102" i="60"/>
  <c r="Z103" i="60"/>
  <c r="Z104" i="60"/>
  <c r="Z105" i="60"/>
  <c r="Z106" i="60"/>
  <c r="Z107" i="60"/>
  <c r="Z108" i="60"/>
  <c r="Z113" i="60"/>
  <c r="Z114" i="60"/>
  <c r="Z115" i="60"/>
  <c r="Z116" i="60"/>
  <c r="Z117" i="60"/>
  <c r="Z118" i="60"/>
  <c r="Z119" i="60"/>
  <c r="Z120" i="60"/>
  <c r="Z121" i="60"/>
  <c r="Z126" i="60"/>
  <c r="Z127" i="60"/>
  <c r="Z128" i="60"/>
  <c r="Z5" i="61"/>
  <c r="Z6" i="61"/>
  <c r="Z7" i="61"/>
  <c r="Z8" i="61"/>
  <c r="Z9" i="61"/>
  <c r="Z10" i="61"/>
  <c r="Z11" i="61"/>
  <c r="Z12" i="61"/>
  <c r="Z13" i="61"/>
  <c r="Z14" i="61"/>
  <c r="Z15" i="61"/>
  <c r="Z16" i="61"/>
  <c r="Z17" i="61"/>
  <c r="Z18" i="61"/>
  <c r="Z19" i="61"/>
  <c r="Z20" i="61"/>
  <c r="Z21" i="61"/>
  <c r="Z22" i="61"/>
  <c r="Z23" i="61"/>
  <c r="Z24" i="61"/>
  <c r="Z25" i="61"/>
  <c r="Z26" i="61"/>
  <c r="Z27" i="61"/>
  <c r="Z28" i="61"/>
  <c r="Z29" i="61"/>
  <c r="Z30" i="61"/>
  <c r="Z31" i="61"/>
  <c r="Z32" i="61"/>
  <c r="Z33" i="61"/>
  <c r="Z34" i="6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48" i="61"/>
  <c r="Z49" i="61"/>
  <c r="Z50" i="61"/>
  <c r="Z51" i="61"/>
  <c r="Z52" i="61"/>
  <c r="Z53" i="61"/>
  <c r="Z54" i="61"/>
  <c r="Z55" i="61"/>
  <c r="Z56" i="61"/>
  <c r="Z57" i="61"/>
  <c r="Z58" i="61"/>
  <c r="Z59" i="61"/>
  <c r="Z60" i="61"/>
  <c r="Z61" i="61"/>
  <c r="Z62" i="61"/>
  <c r="Z63" i="61"/>
  <c r="Z64" i="61"/>
  <c r="Z65" i="61"/>
  <c r="Z66" i="61"/>
  <c r="Z67" i="61"/>
  <c r="Z68" i="61"/>
  <c r="Z69" i="61"/>
  <c r="Z70" i="61"/>
  <c r="Z71" i="61"/>
  <c r="Z72" i="61"/>
  <c r="Z73" i="61"/>
  <c r="Z74" i="61"/>
  <c r="Z75" i="61"/>
  <c r="Z76" i="61"/>
  <c r="Z77" i="61"/>
  <c r="Z78" i="61"/>
  <c r="Z79" i="61"/>
  <c r="Z80" i="61"/>
  <c r="Z81" i="61"/>
  <c r="Z82" i="61"/>
  <c r="Z83" i="61"/>
  <c r="Z88" i="61"/>
  <c r="Z89" i="61"/>
  <c r="Z90" i="61"/>
  <c r="Z91" i="61"/>
  <c r="Z92" i="61"/>
  <c r="Z93" i="61"/>
  <c r="Z94" i="61"/>
  <c r="Z99" i="61"/>
  <c r="Z100" i="61"/>
  <c r="Z111" i="61"/>
  <c r="Z112" i="61"/>
  <c r="Z113" i="61"/>
  <c r="Z114" i="61"/>
  <c r="Z115" i="61"/>
  <c r="Z116" i="61"/>
  <c r="Z117" i="61"/>
  <c r="Z118" i="61"/>
  <c r="Z119" i="61"/>
  <c r="Z124" i="61"/>
  <c r="Z125" i="61"/>
  <c r="Z126" i="61"/>
  <c r="Z127" i="61"/>
  <c r="Z128" i="61"/>
  <c r="Z5" i="63"/>
  <c r="Z6" i="63"/>
  <c r="Z7" i="63"/>
  <c r="Z8" i="63"/>
  <c r="Z9" i="63"/>
  <c r="Z10" i="63"/>
  <c r="Z11" i="63"/>
  <c r="Z12" i="63"/>
  <c r="Z13" i="63"/>
  <c r="Z14" i="63"/>
  <c r="Z15" i="63"/>
  <c r="Z16" i="63"/>
  <c r="Z17" i="63"/>
  <c r="Z18" i="63"/>
  <c r="Z19" i="63"/>
  <c r="Z20" i="63"/>
  <c r="Z21" i="63"/>
  <c r="Z22" i="63"/>
  <c r="Z23" i="63"/>
  <c r="Z24" i="63"/>
  <c r="Z25" i="63"/>
  <c r="Z26" i="63"/>
  <c r="Z27" i="63"/>
  <c r="Z28" i="63"/>
  <c r="Z29" i="63"/>
  <c r="Z30" i="63"/>
  <c r="Z31" i="63"/>
  <c r="Z32" i="63"/>
  <c r="Z33" i="63"/>
  <c r="Z34" i="63"/>
  <c r="Z35" i="63"/>
  <c r="Z36" i="63"/>
  <c r="Z37" i="63"/>
  <c r="Z38" i="63"/>
  <c r="Z39" i="63"/>
  <c r="Z40" i="63"/>
  <c r="Z41" i="63"/>
  <c r="Z42" i="63"/>
  <c r="Z43" i="63"/>
  <c r="Z44" i="63"/>
  <c r="Z45" i="63"/>
  <c r="Z46" i="63"/>
  <c r="Z47" i="63"/>
  <c r="Z48" i="63"/>
  <c r="Z49" i="63"/>
  <c r="Z50" i="63"/>
  <c r="Z51" i="63"/>
  <c r="Z52" i="63"/>
  <c r="Z53" i="63"/>
  <c r="Z54" i="63"/>
  <c r="Z55" i="63"/>
  <c r="Z56" i="63"/>
  <c r="Z57" i="63"/>
  <c r="Z58" i="63"/>
  <c r="Z59" i="63"/>
  <c r="Z60" i="63"/>
  <c r="Z61" i="63"/>
  <c r="Z62" i="63"/>
  <c r="Z63" i="63"/>
  <c r="Z64" i="63"/>
  <c r="Z65" i="63"/>
  <c r="Z66" i="63"/>
  <c r="Z67" i="63"/>
  <c r="Z68" i="63"/>
  <c r="Z69" i="63"/>
  <c r="Z70" i="63"/>
  <c r="Z71" i="63"/>
  <c r="Z72" i="63"/>
  <c r="Z73" i="63"/>
  <c r="Z74" i="63"/>
  <c r="Z75" i="63"/>
  <c r="Z76" i="63"/>
  <c r="Z77" i="63"/>
  <c r="Z78" i="63"/>
  <c r="Z79" i="63"/>
  <c r="Z80" i="63"/>
  <c r="Z81" i="63"/>
  <c r="Z82" i="63"/>
  <c r="Z87" i="63"/>
  <c r="Z88" i="63"/>
  <c r="Z89" i="63"/>
  <c r="Z90" i="63"/>
  <c r="Z91" i="63"/>
  <c r="Z92" i="63"/>
  <c r="Z93" i="63"/>
  <c r="Z94" i="63"/>
  <c r="Z95" i="63"/>
  <c r="Z96" i="63"/>
  <c r="Z97" i="63"/>
  <c r="Z102" i="63"/>
  <c r="Z103" i="63"/>
  <c r="Z104" i="63"/>
  <c r="Z105" i="63"/>
  <c r="Z106" i="63"/>
  <c r="Z107" i="63"/>
  <c r="Z108" i="63"/>
  <c r="Z109" i="63"/>
  <c r="Z114" i="63"/>
  <c r="Z115" i="63"/>
  <c r="Z116" i="63"/>
  <c r="Z117" i="63"/>
  <c r="Z118" i="63"/>
  <c r="Z119" i="63"/>
  <c r="Z120" i="63"/>
  <c r="Z121" i="63"/>
  <c r="Z122" i="63"/>
  <c r="Z127" i="63"/>
  <c r="Z128" i="63"/>
  <c r="Z129" i="63"/>
  <c r="Z130" i="63"/>
  <c r="Z131" i="63"/>
  <c r="I91" i="64"/>
  <c r="I90" i="64"/>
  <c r="G14" i="63"/>
  <c r="G13" i="63"/>
  <c r="G12" i="63"/>
  <c r="G11" i="63"/>
  <c r="G10" i="63"/>
  <c r="G9" i="63"/>
  <c r="G8" i="63"/>
  <c r="E88" i="63"/>
  <c r="Z107" i="62"/>
  <c r="Z106" i="62"/>
  <c r="Z105" i="62"/>
  <c r="Z104" i="62"/>
  <c r="Z103" i="62"/>
  <c r="Z102" i="62"/>
  <c r="Z91" i="62"/>
  <c r="Z90" i="62"/>
  <c r="Z89" i="62"/>
  <c r="Z88" i="62"/>
  <c r="J102" i="63"/>
  <c r="J110" i="63"/>
  <c r="J129" i="61"/>
  <c r="J106" i="60"/>
  <c r="J105" i="60"/>
  <c r="W133" i="70"/>
  <c r="V133" i="70"/>
  <c r="U133" i="70"/>
  <c r="T133" i="70"/>
  <c r="S133" i="70"/>
  <c r="R133" i="70"/>
  <c r="Q133" i="70"/>
  <c r="P133" i="70"/>
  <c r="O133" i="70"/>
  <c r="N133" i="70"/>
  <c r="M133" i="70"/>
  <c r="L133" i="70"/>
  <c r="K133" i="70"/>
  <c r="J133" i="70"/>
  <c r="I133" i="70"/>
  <c r="Z130" i="70"/>
  <c r="Z129" i="70"/>
  <c r="Z131" i="70"/>
  <c r="Y125" i="70"/>
  <c r="X125" i="70"/>
  <c r="W125" i="70"/>
  <c r="V125" i="70"/>
  <c r="U125" i="70"/>
  <c r="T125" i="70"/>
  <c r="S125" i="70"/>
  <c r="R125" i="70"/>
  <c r="Q125" i="70"/>
  <c r="P125" i="70"/>
  <c r="O125" i="70"/>
  <c r="N125" i="70"/>
  <c r="M125" i="70"/>
  <c r="L125" i="70"/>
  <c r="K125" i="70"/>
  <c r="J125" i="70"/>
  <c r="I125" i="70"/>
  <c r="H125" i="70"/>
  <c r="G125" i="70"/>
  <c r="Z124" i="70"/>
  <c r="Z123" i="70"/>
  <c r="Z122" i="70"/>
  <c r="Z121" i="70"/>
  <c r="Z120" i="70"/>
  <c r="Z119" i="70"/>
  <c r="Z118" i="70"/>
  <c r="Z117" i="70"/>
  <c r="Z116" i="70"/>
  <c r="W112" i="70"/>
  <c r="V112" i="70"/>
  <c r="U112" i="70"/>
  <c r="T112" i="70"/>
  <c r="S112" i="70"/>
  <c r="R112" i="70"/>
  <c r="Q112" i="70"/>
  <c r="P112" i="70"/>
  <c r="O112" i="70"/>
  <c r="N112" i="70"/>
  <c r="M112" i="70"/>
  <c r="L112" i="70"/>
  <c r="K112" i="70"/>
  <c r="J112" i="70"/>
  <c r="I112" i="70"/>
  <c r="H112" i="70"/>
  <c r="G112" i="70"/>
  <c r="Z105" i="70"/>
  <c r="Z104" i="70"/>
  <c r="Y100" i="70"/>
  <c r="X100" i="70"/>
  <c r="W100" i="70"/>
  <c r="V100" i="70"/>
  <c r="U100" i="70"/>
  <c r="T100" i="70"/>
  <c r="S100" i="70"/>
  <c r="R100" i="70"/>
  <c r="Q100" i="70"/>
  <c r="P100" i="70"/>
  <c r="O100" i="70"/>
  <c r="N100" i="70"/>
  <c r="M100" i="70"/>
  <c r="L100" i="70"/>
  <c r="K100" i="70"/>
  <c r="J100" i="70"/>
  <c r="I100" i="70"/>
  <c r="H100" i="70"/>
  <c r="G100" i="70"/>
  <c r="Z95" i="70"/>
  <c r="Y88" i="70"/>
  <c r="X88" i="70"/>
  <c r="W88" i="70"/>
  <c r="V88" i="70"/>
  <c r="U88" i="70"/>
  <c r="T88" i="70"/>
  <c r="S88" i="70"/>
  <c r="R88" i="70"/>
  <c r="Q88" i="70"/>
  <c r="P88" i="70"/>
  <c r="O88" i="70"/>
  <c r="N88" i="70"/>
  <c r="M88" i="70"/>
  <c r="L88" i="70"/>
  <c r="L135" i="70"/>
  <c r="K88" i="70"/>
  <c r="I88" i="70"/>
  <c r="E88" i="70"/>
  <c r="D88" i="70"/>
  <c r="C88" i="70"/>
  <c r="Z76" i="70"/>
  <c r="H76" i="70"/>
  <c r="G76" i="70"/>
  <c r="Z75" i="70"/>
  <c r="H75" i="70"/>
  <c r="G75" i="70"/>
  <c r="Z74" i="70"/>
  <c r="H74" i="70"/>
  <c r="G74" i="70"/>
  <c r="Z73" i="70"/>
  <c r="H73" i="70"/>
  <c r="G73" i="70"/>
  <c r="Z72" i="70"/>
  <c r="H72" i="70"/>
  <c r="G72" i="70"/>
  <c r="Z71" i="70"/>
  <c r="H71" i="70"/>
  <c r="G71" i="70"/>
  <c r="Z70" i="70"/>
  <c r="H70" i="70"/>
  <c r="G70" i="70"/>
  <c r="Z69" i="70"/>
  <c r="H69" i="70"/>
  <c r="G69" i="70"/>
  <c r="Z68" i="70"/>
  <c r="H68" i="70"/>
  <c r="G68" i="70"/>
  <c r="Z67" i="70"/>
  <c r="H67" i="70"/>
  <c r="G67" i="70"/>
  <c r="Z66" i="70"/>
  <c r="H66" i="70"/>
  <c r="G66" i="70"/>
  <c r="Z65" i="70"/>
  <c r="H65" i="70"/>
  <c r="G65" i="70"/>
  <c r="Z64" i="70"/>
  <c r="H64" i="70"/>
  <c r="G64" i="70"/>
  <c r="Z63" i="70"/>
  <c r="H63" i="70"/>
  <c r="G63" i="70"/>
  <c r="Z62" i="70"/>
  <c r="H62" i="70"/>
  <c r="G62" i="70"/>
  <c r="Z61" i="70"/>
  <c r="H61" i="70"/>
  <c r="G61" i="70"/>
  <c r="Z60" i="70"/>
  <c r="H60" i="70"/>
  <c r="G60" i="70"/>
  <c r="Z59" i="70"/>
  <c r="H59" i="70"/>
  <c r="G59" i="70"/>
  <c r="Z58" i="70"/>
  <c r="H58" i="70"/>
  <c r="G58" i="70"/>
  <c r="Z57" i="70"/>
  <c r="H57" i="70"/>
  <c r="G57" i="70"/>
  <c r="Z56" i="70"/>
  <c r="H56" i="70"/>
  <c r="G56" i="70"/>
  <c r="Z55" i="70"/>
  <c r="H55" i="70"/>
  <c r="G55" i="70"/>
  <c r="Z54" i="70"/>
  <c r="H54" i="70"/>
  <c r="G54" i="70"/>
  <c r="Z53" i="70"/>
  <c r="H53" i="70"/>
  <c r="G53" i="70"/>
  <c r="Z52" i="70"/>
  <c r="H52" i="70"/>
  <c r="G52" i="70"/>
  <c r="Z51" i="70"/>
  <c r="H51" i="70"/>
  <c r="G51" i="70"/>
  <c r="Z50" i="70"/>
  <c r="H50" i="70"/>
  <c r="G50" i="70"/>
  <c r="Z49" i="70"/>
  <c r="H49" i="70"/>
  <c r="G49" i="70"/>
  <c r="Z48" i="70"/>
  <c r="H48" i="70"/>
  <c r="G48" i="70"/>
  <c r="Z47" i="70"/>
  <c r="H47" i="70"/>
  <c r="G47" i="70"/>
  <c r="Z46" i="70"/>
  <c r="H46" i="70"/>
  <c r="G46" i="70"/>
  <c r="Z45" i="70"/>
  <c r="H45" i="70"/>
  <c r="G45" i="70"/>
  <c r="Z44" i="70"/>
  <c r="H44" i="70"/>
  <c r="G44" i="70"/>
  <c r="Z43" i="70"/>
  <c r="H43" i="70"/>
  <c r="G43" i="70"/>
  <c r="Z42" i="70"/>
  <c r="H42" i="70"/>
  <c r="G42" i="70"/>
  <c r="Z41" i="70"/>
  <c r="H41" i="70"/>
  <c r="G41" i="70"/>
  <c r="Z40" i="70"/>
  <c r="G40" i="70"/>
  <c r="Z39" i="70"/>
  <c r="H39" i="70"/>
  <c r="G39" i="70"/>
  <c r="Z38" i="70"/>
  <c r="H38" i="70"/>
  <c r="G38" i="70"/>
  <c r="Z37" i="70"/>
  <c r="H37" i="70"/>
  <c r="G37" i="70"/>
  <c r="Z36" i="70"/>
  <c r="H36" i="70"/>
  <c r="G36" i="70"/>
  <c r="Z35" i="70"/>
  <c r="H35" i="70"/>
  <c r="G35" i="70"/>
  <c r="Z34" i="70"/>
  <c r="H34" i="70"/>
  <c r="G34" i="70"/>
  <c r="Z33" i="70"/>
  <c r="H33" i="70"/>
  <c r="G33" i="70"/>
  <c r="Z32" i="70"/>
  <c r="H32" i="70"/>
  <c r="G32" i="70"/>
  <c r="Z31" i="70"/>
  <c r="H31" i="70"/>
  <c r="G31" i="70"/>
  <c r="Z30" i="70"/>
  <c r="H30" i="70"/>
  <c r="G30" i="70"/>
  <c r="Z29" i="70"/>
  <c r="H29" i="70"/>
  <c r="G29" i="70"/>
  <c r="Z28" i="70"/>
  <c r="H28" i="70"/>
  <c r="G28" i="70"/>
  <c r="Z27" i="70"/>
  <c r="H27" i="70"/>
  <c r="G27" i="70"/>
  <c r="Z26" i="70"/>
  <c r="H26" i="70"/>
  <c r="G26" i="70"/>
  <c r="Z25" i="70"/>
  <c r="H25" i="70"/>
  <c r="G25" i="70"/>
  <c r="Z24" i="70"/>
  <c r="H24" i="70"/>
  <c r="G24" i="70"/>
  <c r="Z23" i="70"/>
  <c r="H23" i="70"/>
  <c r="G23" i="70"/>
  <c r="Z22" i="70"/>
  <c r="H22" i="70"/>
  <c r="G22" i="70"/>
  <c r="Z21" i="70"/>
  <c r="H21" i="70"/>
  <c r="G21" i="70"/>
  <c r="Z20" i="70"/>
  <c r="H20" i="70"/>
  <c r="G20" i="70"/>
  <c r="Z19" i="70"/>
  <c r="H19" i="70"/>
  <c r="G19" i="70"/>
  <c r="Z18" i="70"/>
  <c r="H18" i="70"/>
  <c r="G18" i="70"/>
  <c r="Z17" i="70"/>
  <c r="H17" i="70"/>
  <c r="G17" i="70"/>
  <c r="Z16" i="70"/>
  <c r="H16" i="70"/>
  <c r="G16" i="70"/>
  <c r="Z15" i="70"/>
  <c r="H15" i="70"/>
  <c r="G15" i="70"/>
  <c r="Z14" i="70"/>
  <c r="H14" i="70"/>
  <c r="G14" i="70"/>
  <c r="Z13" i="70"/>
  <c r="H13" i="70"/>
  <c r="G13" i="70"/>
  <c r="Z12" i="70"/>
  <c r="H12" i="70"/>
  <c r="G12" i="70"/>
  <c r="Z11" i="70"/>
  <c r="H11" i="70"/>
  <c r="G11" i="70"/>
  <c r="Z10" i="70"/>
  <c r="H10" i="70"/>
  <c r="G10" i="70"/>
  <c r="Z9" i="70"/>
  <c r="H9" i="70"/>
  <c r="G9" i="70"/>
  <c r="Z8" i="70"/>
  <c r="H8" i="70"/>
  <c r="G8" i="70"/>
  <c r="Z7" i="70"/>
  <c r="H7" i="70"/>
  <c r="G7" i="70"/>
  <c r="Z6" i="70"/>
  <c r="H6" i="70"/>
  <c r="G6" i="70"/>
  <c r="Z5" i="70"/>
  <c r="H5" i="70"/>
  <c r="G5" i="70"/>
  <c r="W127" i="69"/>
  <c r="V127" i="69"/>
  <c r="U127" i="69"/>
  <c r="T127" i="69"/>
  <c r="S127" i="69"/>
  <c r="R127" i="69"/>
  <c r="Q127" i="69"/>
  <c r="P127" i="69"/>
  <c r="O127" i="69"/>
  <c r="N127" i="69"/>
  <c r="M127" i="69"/>
  <c r="L127" i="69"/>
  <c r="K127" i="69"/>
  <c r="J127" i="69"/>
  <c r="I127" i="69"/>
  <c r="H127" i="69"/>
  <c r="G127" i="69"/>
  <c r="Z126" i="69"/>
  <c r="Z125" i="69"/>
  <c r="Z124" i="69"/>
  <c r="Y120" i="69"/>
  <c r="X120" i="69"/>
  <c r="W120" i="69"/>
  <c r="V120" i="69"/>
  <c r="U120" i="69"/>
  <c r="T120" i="69"/>
  <c r="S120" i="69"/>
  <c r="R120" i="69"/>
  <c r="Q120" i="69"/>
  <c r="P120" i="69"/>
  <c r="O120" i="69"/>
  <c r="N120" i="69"/>
  <c r="M120" i="69"/>
  <c r="L120" i="69"/>
  <c r="K120" i="69"/>
  <c r="J120" i="69"/>
  <c r="I120" i="69"/>
  <c r="H120" i="69"/>
  <c r="G120" i="69"/>
  <c r="Z119" i="69"/>
  <c r="Z118" i="69"/>
  <c r="Z117" i="69"/>
  <c r="Z116" i="69"/>
  <c r="Z115" i="69"/>
  <c r="Z114" i="69"/>
  <c r="Z113" i="69"/>
  <c r="Z112" i="69"/>
  <c r="Z111" i="69"/>
  <c r="W107" i="69"/>
  <c r="V107" i="69"/>
  <c r="U107" i="69"/>
  <c r="T107" i="69"/>
  <c r="S107" i="69"/>
  <c r="R107" i="69"/>
  <c r="Q107" i="69"/>
  <c r="P107" i="69"/>
  <c r="O107" i="69"/>
  <c r="N107" i="69"/>
  <c r="M107" i="69"/>
  <c r="L107" i="69"/>
  <c r="K107" i="69"/>
  <c r="J107" i="69"/>
  <c r="I107" i="69"/>
  <c r="H107" i="69"/>
  <c r="G107" i="69"/>
  <c r="Z100" i="69"/>
  <c r="Z99" i="69"/>
  <c r="Y95" i="69"/>
  <c r="X95" i="69"/>
  <c r="W95" i="69"/>
  <c r="V95" i="69"/>
  <c r="U95" i="69"/>
  <c r="T95" i="69"/>
  <c r="S95" i="69"/>
  <c r="R95" i="69"/>
  <c r="Q95" i="69"/>
  <c r="P95" i="69"/>
  <c r="O95" i="69"/>
  <c r="N95" i="69"/>
  <c r="M95" i="69"/>
  <c r="L95" i="69"/>
  <c r="K95" i="69"/>
  <c r="J95" i="69"/>
  <c r="I95" i="69"/>
  <c r="H95" i="69"/>
  <c r="G95" i="69"/>
  <c r="Z94" i="69"/>
  <c r="Z93" i="69"/>
  <c r="Z92" i="69"/>
  <c r="Z91" i="69"/>
  <c r="Z87" i="69"/>
  <c r="Y83" i="69"/>
  <c r="X83" i="69"/>
  <c r="W83" i="69"/>
  <c r="V83" i="69"/>
  <c r="U83" i="69"/>
  <c r="T83" i="69"/>
  <c r="S83" i="69"/>
  <c r="R83" i="69"/>
  <c r="Q83" i="69"/>
  <c r="P83" i="69"/>
  <c r="O83" i="69"/>
  <c r="N83" i="69"/>
  <c r="M83" i="69"/>
  <c r="L83" i="69"/>
  <c r="K83" i="69"/>
  <c r="J83" i="69"/>
  <c r="I83" i="69"/>
  <c r="F83" i="69"/>
  <c r="E83" i="69"/>
  <c r="D83" i="69"/>
  <c r="C83" i="69"/>
  <c r="Z82" i="69"/>
  <c r="Z81" i="69"/>
  <c r="Z80" i="69"/>
  <c r="Z79" i="69"/>
  <c r="Z78" i="69"/>
  <c r="Z77" i="69"/>
  <c r="Z76" i="69"/>
  <c r="Z75" i="69"/>
  <c r="Z74" i="69"/>
  <c r="Z73" i="69"/>
  <c r="Z72" i="69"/>
  <c r="Z71" i="69"/>
  <c r="Z70" i="69"/>
  <c r="Z69" i="69"/>
  <c r="Z68" i="69"/>
  <c r="Z67" i="69"/>
  <c r="Z66" i="69"/>
  <c r="Z65" i="69"/>
  <c r="Z64" i="69"/>
  <c r="Z63" i="69"/>
  <c r="Z62" i="69"/>
  <c r="Z61" i="69"/>
  <c r="Z60" i="69"/>
  <c r="Z59" i="69"/>
  <c r="Z58" i="69"/>
  <c r="Z57" i="69"/>
  <c r="Z56" i="69"/>
  <c r="Z55" i="69"/>
  <c r="Z54" i="69"/>
  <c r="Z53" i="69"/>
  <c r="Z52" i="69"/>
  <c r="Z51" i="69"/>
  <c r="Z50" i="69"/>
  <c r="Z49" i="69"/>
  <c r="Z48" i="69"/>
  <c r="Z47" i="69"/>
  <c r="Z46" i="69"/>
  <c r="Z45" i="69"/>
  <c r="Z44" i="69"/>
  <c r="Z43" i="69"/>
  <c r="Z42" i="69"/>
  <c r="Z41" i="69"/>
  <c r="Z40" i="69"/>
  <c r="Z39" i="69"/>
  <c r="Z38" i="69"/>
  <c r="Z37" i="69"/>
  <c r="Z36" i="69"/>
  <c r="Z35" i="69"/>
  <c r="Z34" i="69"/>
  <c r="Z33" i="69"/>
  <c r="H33" i="69"/>
  <c r="G33" i="69"/>
  <c r="Z32" i="69"/>
  <c r="H32" i="69"/>
  <c r="G32" i="69"/>
  <c r="Z31" i="69"/>
  <c r="H31" i="69"/>
  <c r="G31" i="69"/>
  <c r="Z30" i="69"/>
  <c r="H30" i="69"/>
  <c r="G30" i="69"/>
  <c r="Z29" i="69"/>
  <c r="H29" i="69"/>
  <c r="G29" i="69"/>
  <c r="Z28" i="69"/>
  <c r="H28" i="69"/>
  <c r="G28" i="69"/>
  <c r="Z27" i="69"/>
  <c r="H27" i="69"/>
  <c r="G27" i="69"/>
  <c r="Z26" i="69"/>
  <c r="H26" i="69"/>
  <c r="G26" i="69"/>
  <c r="Z25" i="69"/>
  <c r="H25" i="69"/>
  <c r="G25" i="69"/>
  <c r="Z24" i="69"/>
  <c r="H24" i="69"/>
  <c r="G24" i="69"/>
  <c r="Z23" i="69"/>
  <c r="H23" i="69"/>
  <c r="G23" i="69"/>
  <c r="Z22" i="69"/>
  <c r="H22" i="69"/>
  <c r="G22" i="69"/>
  <c r="Z21" i="69"/>
  <c r="H21" i="69"/>
  <c r="G21" i="69"/>
  <c r="Z20" i="69"/>
  <c r="H20" i="69"/>
  <c r="G20" i="69"/>
  <c r="Z19" i="69"/>
  <c r="H19" i="69"/>
  <c r="G19" i="69"/>
  <c r="Z18" i="69"/>
  <c r="H18" i="69"/>
  <c r="G18" i="69"/>
  <c r="Z17" i="69"/>
  <c r="H17" i="69"/>
  <c r="G17" i="69"/>
  <c r="Z16" i="69"/>
  <c r="H16" i="69"/>
  <c r="G16" i="69"/>
  <c r="Z15" i="69"/>
  <c r="H15" i="69"/>
  <c r="G15" i="69"/>
  <c r="Z14" i="69"/>
  <c r="H14" i="69"/>
  <c r="G14" i="69"/>
  <c r="Z13" i="69"/>
  <c r="H13" i="69"/>
  <c r="G13" i="69"/>
  <c r="Z12" i="69"/>
  <c r="H12" i="69"/>
  <c r="G12" i="69"/>
  <c r="Z11" i="69"/>
  <c r="H11" i="69"/>
  <c r="G11" i="69"/>
  <c r="Z10" i="69"/>
  <c r="H10" i="69"/>
  <c r="G10" i="69"/>
  <c r="Z9" i="69"/>
  <c r="H9" i="69"/>
  <c r="G9" i="69"/>
  <c r="Z8" i="69"/>
  <c r="H8" i="69"/>
  <c r="G8" i="69"/>
  <c r="Z7" i="69"/>
  <c r="H7" i="69"/>
  <c r="G7" i="69"/>
  <c r="Z6" i="69"/>
  <c r="H6" i="69"/>
  <c r="G6" i="69"/>
  <c r="Z5" i="69"/>
  <c r="H5" i="69"/>
  <c r="G5" i="69"/>
  <c r="J125" i="68"/>
  <c r="I125" i="68"/>
  <c r="G125" i="68"/>
  <c r="Y118" i="68"/>
  <c r="X118" i="68"/>
  <c r="I118" i="68"/>
  <c r="G118" i="68"/>
  <c r="I105" i="68"/>
  <c r="G105" i="68"/>
  <c r="Y94" i="68"/>
  <c r="X94" i="68"/>
  <c r="J94" i="68"/>
  <c r="I94" i="68"/>
  <c r="G94" i="68"/>
  <c r="Y82" i="68"/>
  <c r="X82" i="68"/>
  <c r="I82" i="68"/>
  <c r="E82" i="68"/>
  <c r="C82" i="68"/>
  <c r="G81" i="68"/>
  <c r="G80" i="68"/>
  <c r="G79" i="68"/>
  <c r="G78" i="68"/>
  <c r="G77" i="68"/>
  <c r="G76" i="68"/>
  <c r="G75" i="68"/>
  <c r="G74" i="68"/>
  <c r="G73" i="68"/>
  <c r="G72" i="68"/>
  <c r="G71" i="68"/>
  <c r="G70" i="68"/>
  <c r="G69" i="68"/>
  <c r="G68" i="68"/>
  <c r="G67" i="68"/>
  <c r="G66" i="68"/>
  <c r="G65" i="68"/>
  <c r="G64" i="68"/>
  <c r="G63" i="68"/>
  <c r="G62" i="68"/>
  <c r="G61" i="68"/>
  <c r="G60" i="68"/>
  <c r="G59" i="68"/>
  <c r="G58" i="68"/>
  <c r="G57" i="68"/>
  <c r="G56" i="68"/>
  <c r="G55" i="68"/>
  <c r="G54" i="68"/>
  <c r="G53" i="68"/>
  <c r="G52" i="68"/>
  <c r="G51" i="68"/>
  <c r="G50" i="68"/>
  <c r="G49" i="68"/>
  <c r="G48" i="68"/>
  <c r="G47" i="68"/>
  <c r="G46" i="68"/>
  <c r="G45" i="68"/>
  <c r="G44" i="68"/>
  <c r="G43" i="68"/>
  <c r="G42" i="68"/>
  <c r="G40" i="68"/>
  <c r="G39" i="68"/>
  <c r="G38" i="68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W128" i="67"/>
  <c r="V128" i="67"/>
  <c r="U128" i="67"/>
  <c r="T128" i="67"/>
  <c r="S128" i="67"/>
  <c r="R128" i="67"/>
  <c r="Q128" i="67"/>
  <c r="P128" i="67"/>
  <c r="O128" i="67"/>
  <c r="N128" i="67"/>
  <c r="M128" i="67"/>
  <c r="L128" i="67"/>
  <c r="K128" i="67"/>
  <c r="J128" i="67"/>
  <c r="I128" i="67"/>
  <c r="G128" i="67"/>
  <c r="Y121" i="67"/>
  <c r="X121" i="67"/>
  <c r="W121" i="67"/>
  <c r="V121" i="67"/>
  <c r="U121" i="67"/>
  <c r="T121" i="67"/>
  <c r="S121" i="67"/>
  <c r="R121" i="67"/>
  <c r="Q121" i="67"/>
  <c r="P121" i="67"/>
  <c r="O121" i="67"/>
  <c r="N121" i="67"/>
  <c r="M121" i="67"/>
  <c r="L121" i="67"/>
  <c r="K121" i="67"/>
  <c r="J121" i="67"/>
  <c r="I121" i="67"/>
  <c r="G121" i="67"/>
  <c r="W108" i="67"/>
  <c r="V108" i="67"/>
  <c r="U108" i="67"/>
  <c r="T108" i="67"/>
  <c r="S108" i="67"/>
  <c r="R108" i="67"/>
  <c r="Q108" i="67"/>
  <c r="P108" i="67"/>
  <c r="O108" i="67"/>
  <c r="N108" i="67"/>
  <c r="M108" i="67"/>
  <c r="L108" i="67"/>
  <c r="K108" i="67"/>
  <c r="J108" i="67"/>
  <c r="I108" i="67"/>
  <c r="G108" i="67"/>
  <c r="G96" i="67"/>
  <c r="Y83" i="67"/>
  <c r="X83" i="67"/>
  <c r="W83" i="67"/>
  <c r="V83" i="67"/>
  <c r="U83" i="67"/>
  <c r="T83" i="67"/>
  <c r="S83" i="67"/>
  <c r="R83" i="67"/>
  <c r="Q83" i="67"/>
  <c r="P83" i="67"/>
  <c r="O83" i="67"/>
  <c r="N83" i="67"/>
  <c r="M83" i="67"/>
  <c r="L83" i="67"/>
  <c r="K83" i="67"/>
  <c r="J83" i="67"/>
  <c r="I83" i="67"/>
  <c r="F83" i="67"/>
  <c r="E83" i="67"/>
  <c r="D83" i="67"/>
  <c r="C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G70" i="67"/>
  <c r="G69" i="67"/>
  <c r="G68" i="67"/>
  <c r="G67" i="67"/>
  <c r="G66" i="67"/>
  <c r="G65" i="67"/>
  <c r="G64" i="67"/>
  <c r="G63" i="67"/>
  <c r="G62" i="67"/>
  <c r="G61" i="67"/>
  <c r="G60" i="67"/>
  <c r="G59" i="67"/>
  <c r="G58" i="67"/>
  <c r="G57" i="67"/>
  <c r="G56" i="67"/>
  <c r="G55" i="67"/>
  <c r="G54" i="67"/>
  <c r="G53" i="67"/>
  <c r="G52" i="67"/>
  <c r="G51" i="67"/>
  <c r="G50" i="67"/>
  <c r="G49" i="67"/>
  <c r="G48" i="67"/>
  <c r="G47" i="67"/>
  <c r="G46" i="67"/>
  <c r="G45" i="67"/>
  <c r="G44" i="67"/>
  <c r="G43" i="67"/>
  <c r="G42" i="67"/>
  <c r="G41" i="67"/>
  <c r="G40" i="67"/>
  <c r="G39" i="67"/>
  <c r="G38" i="67"/>
  <c r="G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W127" i="66"/>
  <c r="V127" i="66"/>
  <c r="U127" i="66"/>
  <c r="T127" i="66"/>
  <c r="S127" i="66"/>
  <c r="R127" i="66"/>
  <c r="Q127" i="66"/>
  <c r="P127" i="66"/>
  <c r="O127" i="66"/>
  <c r="N127" i="66"/>
  <c r="M127" i="66"/>
  <c r="L127" i="66"/>
  <c r="K127" i="66"/>
  <c r="J127" i="66"/>
  <c r="I127" i="66"/>
  <c r="G127" i="66"/>
  <c r="Y120" i="66"/>
  <c r="X120" i="66"/>
  <c r="W120" i="66"/>
  <c r="V120" i="66"/>
  <c r="U120" i="66"/>
  <c r="T120" i="66"/>
  <c r="S120" i="66"/>
  <c r="R120" i="66"/>
  <c r="Q120" i="66"/>
  <c r="P120" i="66"/>
  <c r="O120" i="66"/>
  <c r="N120" i="66"/>
  <c r="M120" i="66"/>
  <c r="L120" i="66"/>
  <c r="K120" i="66"/>
  <c r="J120" i="66"/>
  <c r="I120" i="66"/>
  <c r="G120" i="66"/>
  <c r="W107" i="66"/>
  <c r="V107" i="66"/>
  <c r="U107" i="66"/>
  <c r="T107" i="66"/>
  <c r="S107" i="66"/>
  <c r="R107" i="66"/>
  <c r="Q107" i="66"/>
  <c r="P107" i="66"/>
  <c r="O107" i="66"/>
  <c r="N107" i="66"/>
  <c r="M107" i="66"/>
  <c r="L107" i="66"/>
  <c r="K107" i="66"/>
  <c r="J107" i="66"/>
  <c r="I107" i="66"/>
  <c r="G107" i="66"/>
  <c r="Y95" i="66"/>
  <c r="X95" i="66"/>
  <c r="W95" i="66"/>
  <c r="V95" i="66"/>
  <c r="U95" i="66"/>
  <c r="T95" i="66"/>
  <c r="S95" i="66"/>
  <c r="R95" i="66"/>
  <c r="Q95" i="66"/>
  <c r="P95" i="66"/>
  <c r="O95" i="66"/>
  <c r="N95" i="66"/>
  <c r="M95" i="66"/>
  <c r="L95" i="66"/>
  <c r="K95" i="66"/>
  <c r="J95" i="66"/>
  <c r="I95" i="66"/>
  <c r="G9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M83" i="66"/>
  <c r="L83" i="66"/>
  <c r="K83" i="66"/>
  <c r="J83" i="66"/>
  <c r="I83" i="66"/>
  <c r="F83" i="66"/>
  <c r="E83" i="66"/>
  <c r="D83" i="66"/>
  <c r="C83" i="66"/>
  <c r="G82" i="66"/>
  <c r="G81" i="66"/>
  <c r="G80" i="66"/>
  <c r="G79" i="66"/>
  <c r="G78" i="66"/>
  <c r="G77" i="66"/>
  <c r="G76" i="66"/>
  <c r="G75" i="66"/>
  <c r="G74" i="66"/>
  <c r="G73" i="66"/>
  <c r="G72" i="66"/>
  <c r="G71" i="66"/>
  <c r="G70" i="66"/>
  <c r="G69" i="66"/>
  <c r="G68" i="66"/>
  <c r="G67" i="66"/>
  <c r="G66" i="66"/>
  <c r="G65" i="66"/>
  <c r="G64" i="66"/>
  <c r="G63" i="66"/>
  <c r="G62" i="66"/>
  <c r="G61" i="66"/>
  <c r="G60" i="66"/>
  <c r="G59" i="66"/>
  <c r="G58" i="66"/>
  <c r="G57" i="66"/>
  <c r="G56" i="66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W128" i="65"/>
  <c r="V128" i="65"/>
  <c r="U128" i="65"/>
  <c r="T128" i="65"/>
  <c r="S128" i="65"/>
  <c r="R128" i="65"/>
  <c r="Q128" i="65"/>
  <c r="P128" i="65"/>
  <c r="O128" i="65"/>
  <c r="N128" i="65"/>
  <c r="M128" i="65"/>
  <c r="L128" i="65"/>
  <c r="K128" i="65"/>
  <c r="J128" i="65"/>
  <c r="I128" i="65"/>
  <c r="H128" i="65"/>
  <c r="G128" i="65"/>
  <c r="Z127" i="65"/>
  <c r="Z126" i="65"/>
  <c r="Z125" i="65"/>
  <c r="Y121" i="65"/>
  <c r="X121" i="65"/>
  <c r="W121" i="65"/>
  <c r="V121" i="65"/>
  <c r="U121" i="65"/>
  <c r="T121" i="65"/>
  <c r="S121" i="65"/>
  <c r="R121" i="65"/>
  <c r="Q121" i="65"/>
  <c r="P121" i="65"/>
  <c r="O121" i="65"/>
  <c r="N121" i="65"/>
  <c r="M121" i="65"/>
  <c r="L121" i="65"/>
  <c r="K121" i="65"/>
  <c r="I121" i="65"/>
  <c r="G121" i="65"/>
  <c r="Z120" i="65"/>
  <c r="Z119" i="65"/>
  <c r="Z118" i="65"/>
  <c r="Z117" i="65"/>
  <c r="Z116" i="65"/>
  <c r="Z115" i="65"/>
  <c r="Z114" i="65"/>
  <c r="Z112" i="65"/>
  <c r="Z113" i="65"/>
  <c r="W108" i="65"/>
  <c r="V108" i="65"/>
  <c r="U108" i="65"/>
  <c r="T108" i="65"/>
  <c r="S108" i="65"/>
  <c r="R108" i="65"/>
  <c r="Q108" i="65"/>
  <c r="P108" i="65"/>
  <c r="O108" i="65"/>
  <c r="N108" i="65"/>
  <c r="M108" i="65"/>
  <c r="L108" i="65"/>
  <c r="K108" i="65"/>
  <c r="J108" i="65"/>
  <c r="I108" i="65"/>
  <c r="G108" i="65"/>
  <c r="Z101" i="65"/>
  <c r="Z100" i="65"/>
  <c r="Y96" i="65"/>
  <c r="X96" i="65"/>
  <c r="W96" i="65"/>
  <c r="V96" i="65"/>
  <c r="U96" i="65"/>
  <c r="T96" i="65"/>
  <c r="S96" i="65"/>
  <c r="R96" i="65"/>
  <c r="Q96" i="65"/>
  <c r="P96" i="65"/>
  <c r="O96" i="65"/>
  <c r="N96" i="65"/>
  <c r="M96" i="65"/>
  <c r="L96" i="65"/>
  <c r="K96" i="65"/>
  <c r="J96" i="65"/>
  <c r="I96" i="65"/>
  <c r="G96" i="65"/>
  <c r="Z95" i="65"/>
  <c r="Z94" i="65"/>
  <c r="Z93" i="65"/>
  <c r="Z92" i="65"/>
  <c r="Z88" i="65"/>
  <c r="Y83" i="65"/>
  <c r="X83" i="65"/>
  <c r="W83" i="65"/>
  <c r="V83" i="65"/>
  <c r="U83" i="65"/>
  <c r="T83" i="65"/>
  <c r="S83" i="65"/>
  <c r="R83" i="65"/>
  <c r="Q83" i="65"/>
  <c r="P83" i="65"/>
  <c r="O83" i="65"/>
  <c r="N83" i="65"/>
  <c r="M83" i="65"/>
  <c r="L83" i="65"/>
  <c r="K83" i="65"/>
  <c r="I83" i="65"/>
  <c r="E83" i="65"/>
  <c r="D83" i="65"/>
  <c r="C83" i="65"/>
  <c r="Z82" i="65"/>
  <c r="G82" i="65"/>
  <c r="Z81" i="65"/>
  <c r="G81" i="65"/>
  <c r="Z80" i="65"/>
  <c r="G80" i="65"/>
  <c r="Z79" i="65"/>
  <c r="G79" i="65"/>
  <c r="Z78" i="65"/>
  <c r="G78" i="65"/>
  <c r="Z77" i="65"/>
  <c r="G77" i="65"/>
  <c r="Z76" i="65"/>
  <c r="G76" i="65"/>
  <c r="Z75" i="65"/>
  <c r="G75" i="65"/>
  <c r="Z74" i="65"/>
  <c r="G74" i="65"/>
  <c r="Z73" i="65"/>
  <c r="G73" i="65"/>
  <c r="Z72" i="65"/>
  <c r="G72" i="65"/>
  <c r="Z71" i="65"/>
  <c r="G71" i="65"/>
  <c r="Z70" i="65"/>
  <c r="G70" i="65"/>
  <c r="Z69" i="65"/>
  <c r="G69" i="65"/>
  <c r="Z68" i="65"/>
  <c r="G68" i="65"/>
  <c r="Z67" i="65"/>
  <c r="G67" i="65"/>
  <c r="Z66" i="65"/>
  <c r="G66" i="65"/>
  <c r="Z65" i="65"/>
  <c r="G65" i="65"/>
  <c r="Z64" i="65"/>
  <c r="G64" i="65"/>
  <c r="Z63" i="65"/>
  <c r="G63" i="65"/>
  <c r="Z62" i="65"/>
  <c r="G62" i="65"/>
  <c r="Z61" i="65"/>
  <c r="G61" i="65"/>
  <c r="Z60" i="65"/>
  <c r="G60" i="65"/>
  <c r="Z59" i="65"/>
  <c r="G59" i="65"/>
  <c r="Z58" i="65"/>
  <c r="G58" i="65"/>
  <c r="Z57" i="65"/>
  <c r="G57" i="65"/>
  <c r="Z56" i="65"/>
  <c r="G56" i="65"/>
  <c r="Z55" i="65"/>
  <c r="G55" i="65"/>
  <c r="Z54" i="65"/>
  <c r="G54" i="65"/>
  <c r="Z53" i="65"/>
  <c r="G53" i="65"/>
  <c r="Z52" i="65"/>
  <c r="G52" i="65"/>
  <c r="Z51" i="65"/>
  <c r="G51" i="65"/>
  <c r="Z50" i="65"/>
  <c r="G50" i="65"/>
  <c r="Z49" i="65"/>
  <c r="G49" i="65"/>
  <c r="Z48" i="65"/>
  <c r="G48" i="65"/>
  <c r="Z47" i="65"/>
  <c r="G47" i="65"/>
  <c r="Z46" i="65"/>
  <c r="G46" i="65"/>
  <c r="Z45" i="65"/>
  <c r="G45" i="65"/>
  <c r="Z44" i="65"/>
  <c r="G44" i="65"/>
  <c r="Z43" i="65"/>
  <c r="G43" i="65"/>
  <c r="Z42" i="65"/>
  <c r="G42" i="65"/>
  <c r="Z41" i="65"/>
  <c r="G41" i="65"/>
  <c r="Z40" i="65"/>
  <c r="G40" i="65"/>
  <c r="Z39" i="65"/>
  <c r="G39" i="65"/>
  <c r="Z38" i="65"/>
  <c r="G38" i="65"/>
  <c r="Z37" i="65"/>
  <c r="G37" i="65"/>
  <c r="Z36" i="65"/>
  <c r="G36" i="65"/>
  <c r="Z35" i="65"/>
  <c r="G35" i="65"/>
  <c r="Z34" i="65"/>
  <c r="G34" i="65"/>
  <c r="Z33" i="65"/>
  <c r="G33" i="65"/>
  <c r="Z32" i="65"/>
  <c r="G32" i="65"/>
  <c r="Z31" i="65"/>
  <c r="Z30" i="65"/>
  <c r="Z29" i="65"/>
  <c r="Z28" i="65"/>
  <c r="Z27" i="65"/>
  <c r="Z24" i="65"/>
  <c r="G24" i="65"/>
  <c r="Z23" i="65"/>
  <c r="G23" i="65"/>
  <c r="Z22" i="65"/>
  <c r="G22" i="65"/>
  <c r="Z21" i="65"/>
  <c r="G21" i="65"/>
  <c r="Z20" i="65"/>
  <c r="G20" i="65"/>
  <c r="Z19" i="65"/>
  <c r="G19" i="65"/>
  <c r="Z18" i="65"/>
  <c r="G18" i="65"/>
  <c r="Z17" i="65"/>
  <c r="G17" i="65"/>
  <c r="Z16" i="65"/>
  <c r="Z15" i="65"/>
  <c r="Z14" i="65"/>
  <c r="Z13" i="65"/>
  <c r="G13" i="65"/>
  <c r="Z12" i="65"/>
  <c r="G12" i="65"/>
  <c r="Z11" i="65"/>
  <c r="G11" i="65"/>
  <c r="Z10" i="65"/>
  <c r="G10" i="65"/>
  <c r="Z9" i="65"/>
  <c r="G9" i="65"/>
  <c r="Z8" i="65"/>
  <c r="G8" i="65"/>
  <c r="Z7" i="65"/>
  <c r="G7" i="65"/>
  <c r="Z6" i="65"/>
  <c r="G6" i="65"/>
  <c r="Z5" i="65"/>
  <c r="G5" i="65"/>
  <c r="W127" i="64"/>
  <c r="V127" i="64"/>
  <c r="U127" i="64"/>
  <c r="T127" i="64"/>
  <c r="S127" i="64"/>
  <c r="R127" i="64"/>
  <c r="Q127" i="64"/>
  <c r="P127" i="64"/>
  <c r="O127" i="64"/>
  <c r="N127" i="64"/>
  <c r="M127" i="64"/>
  <c r="L127" i="64"/>
  <c r="K127" i="64"/>
  <c r="J127" i="64"/>
  <c r="I127" i="64"/>
  <c r="G127" i="64"/>
  <c r="Z126" i="64"/>
  <c r="Z125" i="64"/>
  <c r="Z124" i="64"/>
  <c r="Y120" i="64"/>
  <c r="X120" i="64"/>
  <c r="W120" i="64"/>
  <c r="V120" i="64"/>
  <c r="U120" i="64"/>
  <c r="T120" i="64"/>
  <c r="S120" i="64"/>
  <c r="R120" i="64"/>
  <c r="Q120" i="64"/>
  <c r="P120" i="64"/>
  <c r="O120" i="64"/>
  <c r="N120" i="64"/>
  <c r="M120" i="64"/>
  <c r="L120" i="64"/>
  <c r="K120" i="64"/>
  <c r="J120" i="64"/>
  <c r="I120" i="64"/>
  <c r="G120" i="64"/>
  <c r="Z119" i="64"/>
  <c r="Z118" i="64"/>
  <c r="Z117" i="64"/>
  <c r="Z116" i="64"/>
  <c r="Z115" i="64"/>
  <c r="Z114" i="64"/>
  <c r="Z113" i="64"/>
  <c r="Z112" i="64"/>
  <c r="Z111" i="64"/>
  <c r="W107" i="64"/>
  <c r="V107" i="64"/>
  <c r="U107" i="64"/>
  <c r="T107" i="64"/>
  <c r="S107" i="64"/>
  <c r="R107" i="64"/>
  <c r="Q107" i="64"/>
  <c r="P107" i="64"/>
  <c r="O107" i="64"/>
  <c r="N107" i="64"/>
  <c r="M107" i="64"/>
  <c r="L107" i="64"/>
  <c r="K107" i="64"/>
  <c r="I107" i="64"/>
  <c r="G107" i="64"/>
  <c r="Z100" i="64"/>
  <c r="Z99" i="64"/>
  <c r="Y95" i="64"/>
  <c r="X95" i="64"/>
  <c r="W95" i="64"/>
  <c r="V95" i="64"/>
  <c r="U95" i="64"/>
  <c r="T95" i="64"/>
  <c r="S95" i="64"/>
  <c r="R95" i="64"/>
  <c r="Q95" i="64"/>
  <c r="P95" i="64"/>
  <c r="O95" i="64"/>
  <c r="N95" i="64"/>
  <c r="M95" i="64"/>
  <c r="L95" i="64"/>
  <c r="K95" i="64"/>
  <c r="J95" i="64"/>
  <c r="G95" i="64"/>
  <c r="Z92" i="64"/>
  <c r="Z91" i="64"/>
  <c r="Y84" i="64"/>
  <c r="X84" i="64"/>
  <c r="W84" i="64"/>
  <c r="V84" i="64"/>
  <c r="U84" i="64"/>
  <c r="T84" i="64"/>
  <c r="S84" i="64"/>
  <c r="R84" i="64"/>
  <c r="Q84" i="64"/>
  <c r="P84" i="64"/>
  <c r="O84" i="64"/>
  <c r="N84" i="64"/>
  <c r="M84" i="64"/>
  <c r="L84" i="64"/>
  <c r="K84" i="64"/>
  <c r="I84" i="64"/>
  <c r="E84" i="64"/>
  <c r="D84" i="64"/>
  <c r="C84" i="64"/>
  <c r="Z83" i="64"/>
  <c r="G83" i="64"/>
  <c r="Z82" i="64"/>
  <c r="G82" i="64"/>
  <c r="Z81" i="64"/>
  <c r="G81" i="64"/>
  <c r="Z80" i="64"/>
  <c r="G80" i="64"/>
  <c r="Z79" i="64"/>
  <c r="G79" i="64"/>
  <c r="Z78" i="64"/>
  <c r="G78" i="64"/>
  <c r="Z77" i="64"/>
  <c r="G77" i="64"/>
  <c r="Z76" i="64"/>
  <c r="G76" i="64"/>
  <c r="Z75" i="64"/>
  <c r="G75" i="64"/>
  <c r="Z74" i="64"/>
  <c r="G74" i="64"/>
  <c r="Z73" i="64"/>
  <c r="G73" i="64"/>
  <c r="Z72" i="64"/>
  <c r="G72" i="64"/>
  <c r="Z71" i="64"/>
  <c r="G71" i="64"/>
  <c r="Z70" i="64"/>
  <c r="G70" i="64"/>
  <c r="Z69" i="64"/>
  <c r="G69" i="64"/>
  <c r="Z68" i="64"/>
  <c r="G68" i="64"/>
  <c r="Z67" i="64"/>
  <c r="G67" i="64"/>
  <c r="Z66" i="64"/>
  <c r="G66" i="64"/>
  <c r="Z65" i="64"/>
  <c r="G65" i="64"/>
  <c r="Z64" i="64"/>
  <c r="G64" i="64"/>
  <c r="Z63" i="64"/>
  <c r="G63" i="64"/>
  <c r="Z62" i="64"/>
  <c r="G62" i="64"/>
  <c r="Z61" i="64"/>
  <c r="G61" i="64"/>
  <c r="Z60" i="64"/>
  <c r="G60" i="64"/>
  <c r="Z59" i="64"/>
  <c r="G59" i="64"/>
  <c r="Z58" i="64"/>
  <c r="G58" i="64"/>
  <c r="Z57" i="64"/>
  <c r="G57" i="64"/>
  <c r="Z56" i="64"/>
  <c r="G56" i="64"/>
  <c r="Z55" i="64"/>
  <c r="G55" i="64"/>
  <c r="Z54" i="64"/>
  <c r="G54" i="64"/>
  <c r="Z53" i="64"/>
  <c r="G53" i="64"/>
  <c r="Z52" i="64"/>
  <c r="G52" i="64"/>
  <c r="Z51" i="64"/>
  <c r="G51" i="64"/>
  <c r="Z50" i="64"/>
  <c r="G50" i="64"/>
  <c r="Z49" i="64"/>
  <c r="G49" i="64"/>
  <c r="Z48" i="64"/>
  <c r="G48" i="64"/>
  <c r="Z47" i="64"/>
  <c r="G47" i="64"/>
  <c r="Z46" i="64"/>
  <c r="G46" i="64"/>
  <c r="Z45" i="64"/>
  <c r="G45" i="64"/>
  <c r="Z44" i="64"/>
  <c r="G44" i="64"/>
  <c r="Z43" i="64"/>
  <c r="G43" i="64"/>
  <c r="Z42" i="64"/>
  <c r="G42" i="64"/>
  <c r="Z41" i="64"/>
  <c r="G41" i="64"/>
  <c r="Z40" i="64"/>
  <c r="G40" i="64"/>
  <c r="Z39" i="64"/>
  <c r="G39" i="64"/>
  <c r="Z38" i="64"/>
  <c r="G38" i="64"/>
  <c r="Z37" i="64"/>
  <c r="G37" i="64"/>
  <c r="Z36" i="64"/>
  <c r="G36" i="64"/>
  <c r="Z35" i="64"/>
  <c r="G35" i="64"/>
  <c r="Z34" i="64"/>
  <c r="G34" i="64"/>
  <c r="Z33" i="64"/>
  <c r="G33" i="64"/>
  <c r="Z32" i="64"/>
  <c r="G32" i="64"/>
  <c r="Z31" i="64"/>
  <c r="G31" i="64"/>
  <c r="Z30" i="64"/>
  <c r="G30" i="64"/>
  <c r="Z29" i="64"/>
  <c r="G29" i="64"/>
  <c r="Z28" i="64"/>
  <c r="G28" i="64"/>
  <c r="Z27" i="64"/>
  <c r="G27" i="64"/>
  <c r="Z26" i="64"/>
  <c r="G26" i="64"/>
  <c r="Z18" i="64"/>
  <c r="G18" i="64"/>
  <c r="Z17" i="64"/>
  <c r="G17" i="64"/>
  <c r="Z16" i="64"/>
  <c r="G16" i="64"/>
  <c r="Z15" i="64"/>
  <c r="G15" i="64"/>
  <c r="Z14" i="64"/>
  <c r="G14" i="64"/>
  <c r="Z13" i="64"/>
  <c r="G13" i="64"/>
  <c r="Z12" i="64"/>
  <c r="G12" i="64"/>
  <c r="Z11" i="64"/>
  <c r="G11" i="64"/>
  <c r="Z10" i="64"/>
  <c r="G10" i="64"/>
  <c r="Z9" i="64"/>
  <c r="G9" i="64"/>
  <c r="Z8" i="64"/>
  <c r="G8" i="64"/>
  <c r="Z7" i="64"/>
  <c r="G7" i="64"/>
  <c r="Z6" i="64"/>
  <c r="G6" i="64"/>
  <c r="Z5" i="64"/>
  <c r="G5" i="64"/>
  <c r="J132" i="63"/>
  <c r="I132" i="63"/>
  <c r="G132" i="63"/>
  <c r="Y123" i="63"/>
  <c r="X123" i="63"/>
  <c r="J123" i="63"/>
  <c r="I123" i="63"/>
  <c r="G123" i="63"/>
  <c r="I110" i="63"/>
  <c r="G110" i="63"/>
  <c r="Y98" i="63"/>
  <c r="X98" i="63"/>
  <c r="I98" i="63"/>
  <c r="G98" i="63"/>
  <c r="Y83" i="63"/>
  <c r="X83" i="63"/>
  <c r="J83" i="63"/>
  <c r="I83" i="63"/>
  <c r="F83" i="63"/>
  <c r="E83" i="63"/>
  <c r="D83" i="63"/>
  <c r="C83" i="63"/>
  <c r="G82" i="63"/>
  <c r="G81" i="63"/>
  <c r="G80" i="63"/>
  <c r="G79" i="63"/>
  <c r="G78" i="63"/>
  <c r="G77" i="63"/>
  <c r="G76" i="63"/>
  <c r="G75" i="63"/>
  <c r="G74" i="63"/>
  <c r="G73" i="63"/>
  <c r="G72" i="63"/>
  <c r="G71" i="63"/>
  <c r="G70" i="63"/>
  <c r="G69" i="63"/>
  <c r="G68" i="63"/>
  <c r="G67" i="63"/>
  <c r="G66" i="63"/>
  <c r="G65" i="63"/>
  <c r="G64" i="63"/>
  <c r="G63" i="63"/>
  <c r="G62" i="63"/>
  <c r="G61" i="63"/>
  <c r="G60" i="63"/>
  <c r="G59" i="63"/>
  <c r="G58" i="63"/>
  <c r="G57" i="63"/>
  <c r="G56" i="63"/>
  <c r="G55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7" i="63"/>
  <c r="G6" i="63"/>
  <c r="G5" i="63"/>
  <c r="W128" i="62"/>
  <c r="V128" i="62"/>
  <c r="U128" i="62"/>
  <c r="T128" i="62"/>
  <c r="S128" i="62"/>
  <c r="R128" i="62"/>
  <c r="Q128" i="62"/>
  <c r="P128" i="62"/>
  <c r="O128" i="62"/>
  <c r="N128" i="62"/>
  <c r="M128" i="62"/>
  <c r="L128" i="62"/>
  <c r="K128" i="62"/>
  <c r="J128" i="62"/>
  <c r="I128" i="62"/>
  <c r="G128" i="62"/>
  <c r="Z127" i="62"/>
  <c r="Z126" i="62"/>
  <c r="Z125" i="62"/>
  <c r="Y121" i="62"/>
  <c r="X121" i="62"/>
  <c r="W121" i="62"/>
  <c r="V121" i="62"/>
  <c r="U121" i="62"/>
  <c r="T121" i="62"/>
  <c r="S121" i="62"/>
  <c r="R121" i="62"/>
  <c r="Q121" i="62"/>
  <c r="P121" i="62"/>
  <c r="O121" i="62"/>
  <c r="N121" i="62"/>
  <c r="M121" i="62"/>
  <c r="L121" i="62"/>
  <c r="K121" i="62"/>
  <c r="J121" i="62"/>
  <c r="I121" i="62"/>
  <c r="G121" i="62"/>
  <c r="Z120" i="62"/>
  <c r="Z119" i="62"/>
  <c r="Z118" i="62"/>
  <c r="Z117" i="62"/>
  <c r="Z116" i="62"/>
  <c r="Z115" i="62"/>
  <c r="Z114" i="62"/>
  <c r="Z113" i="62"/>
  <c r="Z112" i="62"/>
  <c r="W108" i="62"/>
  <c r="V108" i="62"/>
  <c r="U108" i="62"/>
  <c r="T108" i="62"/>
  <c r="S108" i="62"/>
  <c r="R108" i="62"/>
  <c r="Q108" i="62"/>
  <c r="P108" i="62"/>
  <c r="O108" i="62"/>
  <c r="N108" i="62"/>
  <c r="M108" i="62"/>
  <c r="L108" i="62"/>
  <c r="K108" i="62"/>
  <c r="J108" i="62"/>
  <c r="I108" i="62"/>
  <c r="G108" i="62"/>
  <c r="Z101" i="62"/>
  <c r="Z100" i="62"/>
  <c r="Y96" i="62"/>
  <c r="X96" i="62"/>
  <c r="W96" i="62"/>
  <c r="V96" i="62"/>
  <c r="U96" i="62"/>
  <c r="T96" i="62"/>
  <c r="S96" i="62"/>
  <c r="R96" i="62"/>
  <c r="Q96" i="62"/>
  <c r="P96" i="62"/>
  <c r="O96" i="62"/>
  <c r="N96" i="62"/>
  <c r="M96" i="62"/>
  <c r="L96" i="62"/>
  <c r="K96" i="62"/>
  <c r="J96" i="62"/>
  <c r="I96" i="62"/>
  <c r="G96" i="62"/>
  <c r="Z95" i="62"/>
  <c r="Z94" i="62"/>
  <c r="Z93" i="62"/>
  <c r="Z92" i="62"/>
  <c r="Y84" i="62"/>
  <c r="X84" i="62"/>
  <c r="W84" i="62"/>
  <c r="V84" i="62"/>
  <c r="U84" i="62"/>
  <c r="T84" i="62"/>
  <c r="S84" i="62"/>
  <c r="R84" i="62"/>
  <c r="Q84" i="62"/>
  <c r="P84" i="62"/>
  <c r="O84" i="62"/>
  <c r="N84" i="62"/>
  <c r="M84" i="62"/>
  <c r="L84" i="62"/>
  <c r="K84" i="62"/>
  <c r="J84" i="62"/>
  <c r="I84" i="62"/>
  <c r="F84" i="62"/>
  <c r="E84" i="62"/>
  <c r="D84" i="62"/>
  <c r="C84" i="62"/>
  <c r="Z83" i="62"/>
  <c r="G83" i="62"/>
  <c r="Z82" i="62"/>
  <c r="G82" i="62"/>
  <c r="Z81" i="62"/>
  <c r="G81" i="62"/>
  <c r="Z80" i="62"/>
  <c r="G80" i="62"/>
  <c r="Z79" i="62"/>
  <c r="G79" i="62"/>
  <c r="Z78" i="62"/>
  <c r="G78" i="62"/>
  <c r="Z77" i="62"/>
  <c r="G77" i="62"/>
  <c r="Z76" i="62"/>
  <c r="G76" i="62"/>
  <c r="Z75" i="62"/>
  <c r="G75" i="62"/>
  <c r="Z74" i="62"/>
  <c r="G74" i="62"/>
  <c r="Z73" i="62"/>
  <c r="G73" i="62"/>
  <c r="Z72" i="62"/>
  <c r="G72" i="62"/>
  <c r="Z71" i="62"/>
  <c r="G71" i="62"/>
  <c r="Z70" i="62"/>
  <c r="G70" i="62"/>
  <c r="Z69" i="62"/>
  <c r="G69" i="62"/>
  <c r="Z68" i="62"/>
  <c r="G68" i="62"/>
  <c r="Z67" i="62"/>
  <c r="G67" i="62"/>
  <c r="Z66" i="62"/>
  <c r="G66" i="62"/>
  <c r="Z65" i="62"/>
  <c r="G65" i="62"/>
  <c r="Z64" i="62"/>
  <c r="G64" i="62"/>
  <c r="Z63" i="62"/>
  <c r="G63" i="62"/>
  <c r="Z62" i="62"/>
  <c r="G62" i="62"/>
  <c r="Z61" i="62"/>
  <c r="G61" i="62"/>
  <c r="Z60" i="62"/>
  <c r="G60" i="62"/>
  <c r="Z59" i="62"/>
  <c r="G59" i="62"/>
  <c r="Z58" i="62"/>
  <c r="G58" i="62"/>
  <c r="Z57" i="62"/>
  <c r="G57" i="62"/>
  <c r="Z56" i="62"/>
  <c r="G56" i="62"/>
  <c r="Z55" i="62"/>
  <c r="G55" i="62"/>
  <c r="Z54" i="62"/>
  <c r="G54" i="62"/>
  <c r="Z53" i="62"/>
  <c r="G53" i="62"/>
  <c r="Z52" i="62"/>
  <c r="G52" i="62"/>
  <c r="Z51" i="62"/>
  <c r="G51" i="62"/>
  <c r="Z50" i="62"/>
  <c r="G50" i="62"/>
  <c r="Z49" i="62"/>
  <c r="G49" i="62"/>
  <c r="Z48" i="62"/>
  <c r="G48" i="62"/>
  <c r="Z47" i="62"/>
  <c r="G47" i="62"/>
  <c r="Z46" i="62"/>
  <c r="G46" i="62"/>
  <c r="Z45" i="62"/>
  <c r="G45" i="62"/>
  <c r="Z44" i="62"/>
  <c r="G44" i="62"/>
  <c r="Z43" i="62"/>
  <c r="G43" i="62"/>
  <c r="Z42" i="62"/>
  <c r="G42" i="62"/>
  <c r="Z41" i="62"/>
  <c r="G41" i="62"/>
  <c r="Z40" i="62"/>
  <c r="G40" i="62"/>
  <c r="Z39" i="62"/>
  <c r="G39" i="62"/>
  <c r="Z38" i="62"/>
  <c r="G38" i="62"/>
  <c r="Z37" i="62"/>
  <c r="G37" i="62"/>
  <c r="Z36" i="62"/>
  <c r="G36" i="62"/>
  <c r="Z35" i="62"/>
  <c r="G35" i="62"/>
  <c r="Z34" i="62"/>
  <c r="G34" i="62"/>
  <c r="Z33" i="62"/>
  <c r="G33" i="62"/>
  <c r="Z32" i="62"/>
  <c r="G32" i="62"/>
  <c r="Z31" i="62"/>
  <c r="G31" i="62"/>
  <c r="Z30" i="62"/>
  <c r="G30" i="62"/>
  <c r="Z29" i="62"/>
  <c r="G29" i="62"/>
  <c r="Z28" i="62"/>
  <c r="G28" i="62"/>
  <c r="Z27" i="62"/>
  <c r="G27" i="62"/>
  <c r="Z26" i="62"/>
  <c r="G26" i="62"/>
  <c r="Z25" i="62"/>
  <c r="G25" i="62"/>
  <c r="Z24" i="62"/>
  <c r="G24" i="62"/>
  <c r="Z23" i="62"/>
  <c r="G23" i="62"/>
  <c r="Z22" i="62"/>
  <c r="G22" i="62"/>
  <c r="Z21" i="62"/>
  <c r="G21" i="62"/>
  <c r="Z20" i="62"/>
  <c r="G20" i="62"/>
  <c r="Z19" i="62"/>
  <c r="G19" i="62"/>
  <c r="Z18" i="62"/>
  <c r="G18" i="62"/>
  <c r="Z17" i="62"/>
  <c r="G17" i="62"/>
  <c r="Z16" i="62"/>
  <c r="G16" i="62"/>
  <c r="Z15" i="62"/>
  <c r="G15" i="62"/>
  <c r="Z14" i="62"/>
  <c r="G14" i="62"/>
  <c r="Z13" i="62"/>
  <c r="G13" i="62"/>
  <c r="Z12" i="62"/>
  <c r="G12" i="62"/>
  <c r="Z11" i="62"/>
  <c r="G11" i="62"/>
  <c r="Z10" i="62"/>
  <c r="G10" i="62"/>
  <c r="Z9" i="62"/>
  <c r="G9" i="62"/>
  <c r="Z8" i="62"/>
  <c r="G8" i="62"/>
  <c r="Z7" i="62"/>
  <c r="G7" i="62"/>
  <c r="Z6" i="62"/>
  <c r="G6" i="62"/>
  <c r="Z5" i="62"/>
  <c r="G5" i="62"/>
  <c r="W129" i="61"/>
  <c r="V129" i="61"/>
  <c r="U129" i="61"/>
  <c r="T129" i="61"/>
  <c r="S129" i="61"/>
  <c r="R129" i="61"/>
  <c r="Q129" i="61"/>
  <c r="P129" i="61"/>
  <c r="O129" i="61"/>
  <c r="N129" i="61"/>
  <c r="M129" i="61"/>
  <c r="L129" i="61"/>
  <c r="K129" i="61"/>
  <c r="I129" i="61"/>
  <c r="G129" i="61"/>
  <c r="Y120" i="61"/>
  <c r="X120" i="61"/>
  <c r="W120" i="61"/>
  <c r="V120" i="61"/>
  <c r="U120" i="61"/>
  <c r="T120" i="61"/>
  <c r="S120" i="61"/>
  <c r="R120" i="61"/>
  <c r="Q120" i="61"/>
  <c r="P120" i="61"/>
  <c r="O120" i="61"/>
  <c r="N120" i="61"/>
  <c r="M120" i="61"/>
  <c r="L120" i="61"/>
  <c r="K120" i="61"/>
  <c r="J120" i="61"/>
  <c r="I120" i="61"/>
  <c r="G120" i="61"/>
  <c r="W107" i="61"/>
  <c r="V107" i="61"/>
  <c r="U107" i="61"/>
  <c r="T107" i="61"/>
  <c r="S107" i="61"/>
  <c r="R107" i="61"/>
  <c r="Q107" i="61"/>
  <c r="P107" i="61"/>
  <c r="O107" i="61"/>
  <c r="N107" i="61"/>
  <c r="M107" i="61"/>
  <c r="L107" i="61"/>
  <c r="K107" i="61"/>
  <c r="J107" i="61"/>
  <c r="I107" i="61"/>
  <c r="G107" i="61"/>
  <c r="Y95" i="61"/>
  <c r="X95" i="61"/>
  <c r="W95" i="61"/>
  <c r="V95" i="61"/>
  <c r="U95" i="61"/>
  <c r="T95" i="61"/>
  <c r="S95" i="61"/>
  <c r="R95" i="61"/>
  <c r="Q95" i="61"/>
  <c r="P95" i="61"/>
  <c r="O95" i="61"/>
  <c r="N95" i="61"/>
  <c r="M95" i="61"/>
  <c r="L95" i="61"/>
  <c r="K95" i="61"/>
  <c r="J95" i="61"/>
  <c r="I95" i="61"/>
  <c r="G95" i="61"/>
  <c r="Y84" i="61"/>
  <c r="X84" i="61"/>
  <c r="W84" i="61"/>
  <c r="V84" i="61"/>
  <c r="U84" i="61"/>
  <c r="T84" i="61"/>
  <c r="S84" i="61"/>
  <c r="R84" i="61"/>
  <c r="Q84" i="61"/>
  <c r="P84" i="61"/>
  <c r="O84" i="61"/>
  <c r="N84" i="61"/>
  <c r="M84" i="61"/>
  <c r="L84" i="61"/>
  <c r="K84" i="61"/>
  <c r="J84" i="61"/>
  <c r="I84" i="61"/>
  <c r="F84" i="61"/>
  <c r="E84" i="61"/>
  <c r="D84" i="61"/>
  <c r="C84" i="61"/>
  <c r="G83" i="61"/>
  <c r="G82" i="61"/>
  <c r="G81" i="61"/>
  <c r="G80" i="61"/>
  <c r="G79" i="61"/>
  <c r="G78" i="61"/>
  <c r="G77" i="61"/>
  <c r="G76" i="61"/>
  <c r="G75" i="61"/>
  <c r="G74" i="61"/>
  <c r="G73" i="61"/>
  <c r="G72" i="61"/>
  <c r="G71" i="61"/>
  <c r="G70" i="61"/>
  <c r="G69" i="61"/>
  <c r="G68" i="61"/>
  <c r="G67" i="61"/>
  <c r="G66" i="61"/>
  <c r="G65" i="61"/>
  <c r="G64" i="61"/>
  <c r="G63" i="61"/>
  <c r="G62" i="61"/>
  <c r="G61" i="61"/>
  <c r="G60" i="61"/>
  <c r="G59" i="61"/>
  <c r="G58" i="61"/>
  <c r="G57" i="61"/>
  <c r="G56" i="61"/>
  <c r="G55" i="61"/>
  <c r="G54" i="61"/>
  <c r="G53" i="61"/>
  <c r="G52" i="61"/>
  <c r="G51" i="61"/>
  <c r="G50" i="61"/>
  <c r="G49" i="61"/>
  <c r="G48" i="61"/>
  <c r="G47" i="61"/>
  <c r="G46" i="61"/>
  <c r="G45" i="61"/>
  <c r="G44" i="61"/>
  <c r="G43" i="61"/>
  <c r="G42" i="61"/>
  <c r="G41" i="61"/>
  <c r="G40" i="61"/>
  <c r="G39" i="61"/>
  <c r="G38" i="61"/>
  <c r="G37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I91" i="59"/>
  <c r="I95" i="59"/>
  <c r="W129" i="60"/>
  <c r="V129" i="60"/>
  <c r="U129" i="60"/>
  <c r="T129" i="60"/>
  <c r="S129" i="60"/>
  <c r="R129" i="60"/>
  <c r="Q129" i="60"/>
  <c r="P129" i="60"/>
  <c r="O129" i="60"/>
  <c r="N129" i="60"/>
  <c r="M129" i="60"/>
  <c r="L129" i="60"/>
  <c r="K129" i="60"/>
  <c r="I129" i="60"/>
  <c r="G129" i="60"/>
  <c r="J129" i="60"/>
  <c r="Y122" i="60"/>
  <c r="X122" i="60"/>
  <c r="W122" i="60"/>
  <c r="V122" i="60"/>
  <c r="U122" i="60"/>
  <c r="T122" i="60"/>
  <c r="S122" i="60"/>
  <c r="R122" i="60"/>
  <c r="Q122" i="60"/>
  <c r="P122" i="60"/>
  <c r="O122" i="60"/>
  <c r="N122" i="60"/>
  <c r="M122" i="60"/>
  <c r="L122" i="60"/>
  <c r="K122" i="60"/>
  <c r="J122" i="60"/>
  <c r="I122" i="60"/>
  <c r="G122" i="60"/>
  <c r="W109" i="60"/>
  <c r="V109" i="60"/>
  <c r="U109" i="60"/>
  <c r="T109" i="60"/>
  <c r="S109" i="60"/>
  <c r="R109" i="60"/>
  <c r="Q109" i="60"/>
  <c r="P109" i="60"/>
  <c r="O109" i="60"/>
  <c r="N109" i="60"/>
  <c r="M109" i="60"/>
  <c r="L109" i="60"/>
  <c r="K109" i="60"/>
  <c r="I109" i="60"/>
  <c r="G109" i="60"/>
  <c r="Y96" i="60"/>
  <c r="X96" i="60"/>
  <c r="W96" i="60"/>
  <c r="V96" i="60"/>
  <c r="U96" i="60"/>
  <c r="T96" i="60"/>
  <c r="S96" i="60"/>
  <c r="R96" i="60"/>
  <c r="Q96" i="60"/>
  <c r="P96" i="60"/>
  <c r="O96" i="60"/>
  <c r="N96" i="60"/>
  <c r="M96" i="60"/>
  <c r="L96" i="60"/>
  <c r="K96" i="60"/>
  <c r="J96" i="60"/>
  <c r="I96" i="60"/>
  <c r="G96" i="60"/>
  <c r="Y84" i="60"/>
  <c r="X84" i="60"/>
  <c r="W84" i="60"/>
  <c r="V84" i="60"/>
  <c r="U84" i="60"/>
  <c r="T84" i="60"/>
  <c r="S84" i="60"/>
  <c r="R84" i="60"/>
  <c r="Q84" i="60"/>
  <c r="P84" i="60"/>
  <c r="O84" i="60"/>
  <c r="N84" i="60"/>
  <c r="M84" i="60"/>
  <c r="L84" i="60"/>
  <c r="K84" i="60"/>
  <c r="I84" i="60"/>
  <c r="E84" i="60"/>
  <c r="D84" i="60"/>
  <c r="C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J84" i="60"/>
  <c r="G51" i="60"/>
  <c r="G50" i="60"/>
  <c r="G49" i="60"/>
  <c r="G48" i="60"/>
  <c r="G47" i="60"/>
  <c r="G46" i="60"/>
  <c r="G45" i="60"/>
  <c r="G44" i="60"/>
  <c r="F8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J125" i="59"/>
  <c r="J61" i="59"/>
  <c r="J59" i="59"/>
  <c r="J60" i="59"/>
  <c r="J58" i="59"/>
  <c r="J57" i="59"/>
  <c r="J56" i="59"/>
  <c r="J55" i="59"/>
  <c r="J54" i="59"/>
  <c r="J53" i="59"/>
  <c r="J52" i="59"/>
  <c r="J51" i="59"/>
  <c r="G29" i="59"/>
  <c r="J124" i="59"/>
  <c r="Y120" i="59"/>
  <c r="X120" i="59"/>
  <c r="W120" i="59"/>
  <c r="V120" i="59"/>
  <c r="U120" i="59"/>
  <c r="T120" i="59"/>
  <c r="S120" i="59"/>
  <c r="R120" i="59"/>
  <c r="Q120" i="59"/>
  <c r="P120" i="59"/>
  <c r="O120" i="59"/>
  <c r="N120" i="59"/>
  <c r="M120" i="59"/>
  <c r="L120" i="59"/>
  <c r="K120" i="59"/>
  <c r="J120" i="59"/>
  <c r="I120" i="59"/>
  <c r="G120" i="59"/>
  <c r="Y95" i="59"/>
  <c r="X95" i="59"/>
  <c r="W95" i="59"/>
  <c r="V95" i="59"/>
  <c r="U95" i="59"/>
  <c r="T95" i="59"/>
  <c r="S95" i="59"/>
  <c r="R95" i="59"/>
  <c r="Q95" i="59"/>
  <c r="P95" i="59"/>
  <c r="O95" i="59"/>
  <c r="N95" i="59"/>
  <c r="M95" i="59"/>
  <c r="L95" i="59"/>
  <c r="K95" i="59"/>
  <c r="J95" i="59"/>
  <c r="J115" i="56"/>
  <c r="J114" i="56"/>
  <c r="J113" i="56"/>
  <c r="J112" i="56"/>
  <c r="J111" i="56"/>
  <c r="Y120" i="56"/>
  <c r="X120" i="56"/>
  <c r="W120" i="56"/>
  <c r="V120" i="56"/>
  <c r="U120" i="56"/>
  <c r="T120" i="56"/>
  <c r="S120" i="56"/>
  <c r="R120" i="56"/>
  <c r="Q120" i="56"/>
  <c r="P120" i="56"/>
  <c r="O120" i="56"/>
  <c r="N120" i="56"/>
  <c r="M120" i="56"/>
  <c r="L120" i="56"/>
  <c r="K120" i="56"/>
  <c r="I120" i="56"/>
  <c r="G120" i="56"/>
  <c r="Z116" i="56"/>
  <c r="Z115" i="56"/>
  <c r="Z114" i="56"/>
  <c r="Z113" i="56"/>
  <c r="Z112" i="56"/>
  <c r="Z111" i="56"/>
  <c r="Z95" i="56"/>
  <c r="Z96" i="56"/>
  <c r="J104" i="56"/>
  <c r="J107" i="56"/>
  <c r="J94" i="56"/>
  <c r="J100" i="56"/>
  <c r="Z94" i="56"/>
  <c r="D76" i="56"/>
  <c r="Y107" i="56"/>
  <c r="X107" i="56"/>
  <c r="W107" i="56"/>
  <c r="V107" i="56"/>
  <c r="U107" i="56"/>
  <c r="T107" i="56"/>
  <c r="S107" i="56"/>
  <c r="R107" i="56"/>
  <c r="Q107" i="56"/>
  <c r="P107" i="56"/>
  <c r="O107" i="56"/>
  <c r="N107" i="56"/>
  <c r="M107" i="56"/>
  <c r="L107" i="56"/>
  <c r="K107" i="56"/>
  <c r="Z106" i="56"/>
  <c r="Z105" i="56"/>
  <c r="Z104" i="56"/>
  <c r="Z99" i="56"/>
  <c r="Z98" i="56"/>
  <c r="Z97" i="56"/>
  <c r="Z93" i="56"/>
  <c r="Z92" i="56"/>
  <c r="Y100" i="56"/>
  <c r="X100" i="56"/>
  <c r="W100" i="56"/>
  <c r="V100" i="56"/>
  <c r="U100" i="56"/>
  <c r="T100" i="56"/>
  <c r="S100" i="56"/>
  <c r="R100" i="56"/>
  <c r="Q100" i="56"/>
  <c r="P100" i="56"/>
  <c r="O100" i="56"/>
  <c r="N100" i="56"/>
  <c r="M100" i="56"/>
  <c r="L100" i="56"/>
  <c r="K100" i="56"/>
  <c r="Z86" i="56"/>
  <c r="Z85" i="56"/>
  <c r="Z84" i="56"/>
  <c r="Z83" i="56"/>
  <c r="Z82" i="56"/>
  <c r="Z81" i="56"/>
  <c r="Z80" i="56"/>
  <c r="Y88" i="56"/>
  <c r="X88" i="56"/>
  <c r="W88" i="56"/>
  <c r="V88" i="56"/>
  <c r="U88" i="56"/>
  <c r="T88" i="56"/>
  <c r="S88" i="56"/>
  <c r="R88" i="56"/>
  <c r="Q88" i="56"/>
  <c r="P88" i="56"/>
  <c r="O88" i="56"/>
  <c r="N88" i="56"/>
  <c r="M88" i="56"/>
  <c r="L88" i="56"/>
  <c r="K88" i="56"/>
  <c r="J88" i="56"/>
  <c r="G88" i="56"/>
  <c r="Z100" i="55"/>
  <c r="Z99" i="55"/>
  <c r="Z98" i="55"/>
  <c r="Z97" i="55"/>
  <c r="Z96" i="55"/>
  <c r="Z95" i="55"/>
  <c r="Z94" i="55"/>
  <c r="Z93" i="55"/>
  <c r="W127" i="59"/>
  <c r="V127" i="59"/>
  <c r="U127" i="59"/>
  <c r="T127" i="59"/>
  <c r="S127" i="59"/>
  <c r="R127" i="59"/>
  <c r="Q127" i="59"/>
  <c r="P127" i="59"/>
  <c r="O127" i="59"/>
  <c r="N127" i="59"/>
  <c r="M127" i="59"/>
  <c r="L127" i="59"/>
  <c r="K127" i="59"/>
  <c r="I127" i="59"/>
  <c r="G127" i="59"/>
  <c r="W107" i="59"/>
  <c r="V107" i="59"/>
  <c r="U107" i="59"/>
  <c r="T107" i="59"/>
  <c r="S107" i="59"/>
  <c r="R107" i="59"/>
  <c r="Q107" i="59"/>
  <c r="P107" i="59"/>
  <c r="O107" i="59"/>
  <c r="N107" i="59"/>
  <c r="M107" i="59"/>
  <c r="L107" i="59"/>
  <c r="K107" i="59"/>
  <c r="J107" i="59"/>
  <c r="I107" i="59"/>
  <c r="G107" i="59"/>
  <c r="G95" i="59"/>
  <c r="Y84" i="59"/>
  <c r="X84" i="59"/>
  <c r="W84" i="59"/>
  <c r="V84" i="59"/>
  <c r="U84" i="59"/>
  <c r="T84" i="59"/>
  <c r="S84" i="59"/>
  <c r="R84" i="59"/>
  <c r="Q84" i="59"/>
  <c r="P84" i="59"/>
  <c r="O84" i="59"/>
  <c r="N84" i="59"/>
  <c r="M84" i="59"/>
  <c r="L84" i="59"/>
  <c r="K84" i="59"/>
  <c r="I84" i="59"/>
  <c r="E84" i="59"/>
  <c r="D84" i="59"/>
  <c r="C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J112" i="55"/>
  <c r="J115" i="55"/>
  <c r="J29" i="56"/>
  <c r="J76" i="56"/>
  <c r="J40" i="55"/>
  <c r="Y115" i="55"/>
  <c r="X115" i="55"/>
  <c r="W115" i="55"/>
  <c r="V115" i="55"/>
  <c r="U115" i="55"/>
  <c r="T115" i="55"/>
  <c r="S115" i="55"/>
  <c r="R115" i="55"/>
  <c r="Q115" i="55"/>
  <c r="P115" i="55"/>
  <c r="O115" i="55"/>
  <c r="N115" i="55"/>
  <c r="M115" i="55"/>
  <c r="L115" i="55"/>
  <c r="K115" i="55"/>
  <c r="I115" i="55"/>
  <c r="G115" i="55"/>
  <c r="Z108" i="55"/>
  <c r="Y108" i="55"/>
  <c r="X108" i="55"/>
  <c r="W108" i="55"/>
  <c r="V108" i="55"/>
  <c r="U108" i="55"/>
  <c r="T108" i="55"/>
  <c r="S108" i="55"/>
  <c r="R108" i="55"/>
  <c r="Q108" i="55"/>
  <c r="P108" i="55"/>
  <c r="O108" i="55"/>
  <c r="N108" i="55"/>
  <c r="M108" i="55"/>
  <c r="L108" i="55"/>
  <c r="K108" i="55"/>
  <c r="J108" i="55"/>
  <c r="I108" i="55"/>
  <c r="G108" i="55"/>
  <c r="G101" i="55"/>
  <c r="G89" i="55"/>
  <c r="Y101" i="55"/>
  <c r="X101" i="55"/>
  <c r="W101" i="55"/>
  <c r="V101" i="55"/>
  <c r="U101" i="55"/>
  <c r="T101" i="55"/>
  <c r="S101" i="55"/>
  <c r="R101" i="55"/>
  <c r="Q101" i="55"/>
  <c r="P101" i="55"/>
  <c r="O101" i="55"/>
  <c r="N101" i="55"/>
  <c r="M101" i="55"/>
  <c r="L101" i="55"/>
  <c r="K101" i="55"/>
  <c r="J101" i="55"/>
  <c r="I101" i="55"/>
  <c r="Y89" i="55"/>
  <c r="X89" i="55"/>
  <c r="W89" i="55"/>
  <c r="V89" i="55"/>
  <c r="U89" i="55"/>
  <c r="T89" i="55"/>
  <c r="S89" i="55"/>
  <c r="R89" i="55"/>
  <c r="Q89" i="55"/>
  <c r="P89" i="55"/>
  <c r="O89" i="55"/>
  <c r="N89" i="55"/>
  <c r="M89" i="55"/>
  <c r="L89" i="55"/>
  <c r="K89" i="55"/>
  <c r="J89" i="55"/>
  <c r="I89" i="55"/>
  <c r="Z81" i="55"/>
  <c r="Y118" i="54"/>
  <c r="X118" i="54"/>
  <c r="Z110" i="54"/>
  <c r="Z109" i="54"/>
  <c r="Z108" i="54"/>
  <c r="Y111" i="54"/>
  <c r="X111" i="54"/>
  <c r="W111" i="54"/>
  <c r="Y104" i="54"/>
  <c r="X104" i="54"/>
  <c r="Z103" i="54"/>
  <c r="Z102" i="54"/>
  <c r="Z101" i="54"/>
  <c r="Z100" i="54"/>
  <c r="Z99" i="54"/>
  <c r="Z98" i="54"/>
  <c r="Z97" i="54"/>
  <c r="J115" i="54"/>
  <c r="J118" i="54"/>
  <c r="G42" i="55"/>
  <c r="J42" i="55"/>
  <c r="Z42" i="55"/>
  <c r="Z41" i="55"/>
  <c r="J41" i="55"/>
  <c r="G41" i="55"/>
  <c r="I88" i="54"/>
  <c r="J14" i="54"/>
  <c r="J108" i="54"/>
  <c r="J96" i="54"/>
  <c r="J104" i="54"/>
  <c r="L92" i="54"/>
  <c r="M92" i="54"/>
  <c r="N92" i="54"/>
  <c r="O92" i="54"/>
  <c r="P92" i="54"/>
  <c r="Q92" i="54"/>
  <c r="R92" i="54"/>
  <c r="S92" i="54"/>
  <c r="T92" i="54"/>
  <c r="U92" i="54"/>
  <c r="V92" i="54"/>
  <c r="W92" i="54"/>
  <c r="X92" i="54"/>
  <c r="Y92" i="54"/>
  <c r="K92" i="54"/>
  <c r="J92" i="54"/>
  <c r="G92" i="54"/>
  <c r="J109" i="54"/>
  <c r="Z114" i="53"/>
  <c r="Z113" i="53"/>
  <c r="Z112" i="53"/>
  <c r="Y108" i="53"/>
  <c r="X108" i="53"/>
  <c r="G96" i="53"/>
  <c r="Z19" i="53"/>
  <c r="G19" i="53"/>
  <c r="Z88" i="53"/>
  <c r="Y96" i="53"/>
  <c r="X96" i="53"/>
  <c r="W96" i="53"/>
  <c r="V96" i="53"/>
  <c r="U96" i="53"/>
  <c r="T96" i="53"/>
  <c r="S96" i="53"/>
  <c r="R96" i="53"/>
  <c r="Q96" i="53"/>
  <c r="P96" i="53"/>
  <c r="O96" i="53"/>
  <c r="N96" i="53"/>
  <c r="M96" i="53"/>
  <c r="L96" i="53"/>
  <c r="K96" i="53"/>
  <c r="J96" i="53"/>
  <c r="I89" i="53"/>
  <c r="I96" i="53"/>
  <c r="J113" i="53"/>
  <c r="J115" i="53"/>
  <c r="Z103" i="53"/>
  <c r="Z89" i="52"/>
  <c r="Z90" i="52"/>
  <c r="Z101" i="53"/>
  <c r="Z102" i="53"/>
  <c r="I88" i="52"/>
  <c r="I96" i="52"/>
  <c r="Y122" i="52"/>
  <c r="X122" i="52"/>
  <c r="W122" i="52"/>
  <c r="V122" i="52"/>
  <c r="V115" i="52"/>
  <c r="U122" i="52"/>
  <c r="T122" i="52"/>
  <c r="S122" i="52"/>
  <c r="R122" i="52"/>
  <c r="Q122" i="52"/>
  <c r="P122" i="52"/>
  <c r="O122" i="52"/>
  <c r="N122" i="52"/>
  <c r="N115" i="52"/>
  <c r="M122" i="52"/>
  <c r="L122" i="52"/>
  <c r="K122" i="52"/>
  <c r="Z108" i="52"/>
  <c r="Z114" i="52"/>
  <c r="Z113" i="52"/>
  <c r="Z112" i="52"/>
  <c r="Y115" i="52"/>
  <c r="X115" i="52"/>
  <c r="W115" i="52"/>
  <c r="U115" i="52"/>
  <c r="T115" i="52"/>
  <c r="S115" i="52"/>
  <c r="R115" i="52"/>
  <c r="Q115" i="52"/>
  <c r="P115" i="52"/>
  <c r="O115" i="52"/>
  <c r="M115" i="52"/>
  <c r="L115" i="52"/>
  <c r="K115" i="52"/>
  <c r="Y108" i="52"/>
  <c r="X108" i="52"/>
  <c r="W108" i="52"/>
  <c r="V108" i="52"/>
  <c r="U108" i="52"/>
  <c r="T108" i="52"/>
  <c r="S108" i="52"/>
  <c r="R108" i="52"/>
  <c r="Q108" i="52"/>
  <c r="P108" i="52"/>
  <c r="O108" i="52"/>
  <c r="N108" i="52"/>
  <c r="M108" i="52"/>
  <c r="L108" i="52"/>
  <c r="K108" i="52"/>
  <c r="Y96" i="52"/>
  <c r="X96" i="52"/>
  <c r="W96" i="52"/>
  <c r="V96" i="52"/>
  <c r="U96" i="52"/>
  <c r="T96" i="52"/>
  <c r="S96" i="52"/>
  <c r="R96" i="52"/>
  <c r="Q96" i="52"/>
  <c r="P96" i="52"/>
  <c r="O96" i="52"/>
  <c r="N96" i="52"/>
  <c r="M96" i="52"/>
  <c r="L96" i="52"/>
  <c r="K96" i="52"/>
  <c r="J96" i="52"/>
  <c r="G96" i="52"/>
  <c r="J119" i="52"/>
  <c r="J122" i="52"/>
  <c r="Y122" i="51"/>
  <c r="X122" i="51"/>
  <c r="Y115" i="51"/>
  <c r="X115" i="51"/>
  <c r="Y108" i="51"/>
  <c r="X108" i="51"/>
  <c r="Y96" i="51"/>
  <c r="X96" i="51"/>
  <c r="W96" i="51"/>
  <c r="V96" i="51"/>
  <c r="U96" i="51"/>
  <c r="T96" i="51"/>
  <c r="S96" i="51"/>
  <c r="R96" i="51"/>
  <c r="Q96" i="51"/>
  <c r="P96" i="51"/>
  <c r="O96" i="51"/>
  <c r="N96" i="51"/>
  <c r="M96" i="51"/>
  <c r="L96" i="51"/>
  <c r="K96" i="51"/>
  <c r="Z95" i="51"/>
  <c r="Z94" i="51"/>
  <c r="Z93" i="51"/>
  <c r="Z92" i="51"/>
  <c r="Z91" i="51"/>
  <c r="Z90" i="51"/>
  <c r="Z89" i="51"/>
  <c r="Z88" i="51"/>
  <c r="Z114" i="51"/>
  <c r="Z113" i="51"/>
  <c r="Z112" i="51"/>
  <c r="Z107" i="51"/>
  <c r="Z106" i="51"/>
  <c r="Z105" i="51"/>
  <c r="Z104" i="51"/>
  <c r="Z103" i="51"/>
  <c r="Z102" i="51"/>
  <c r="Z101" i="51"/>
  <c r="J113" i="51"/>
  <c r="J115" i="51"/>
  <c r="J105" i="51"/>
  <c r="I89" i="51"/>
  <c r="I96" i="51"/>
  <c r="J96" i="51"/>
  <c r="G96" i="51"/>
  <c r="Z100" i="53"/>
  <c r="Z119" i="56"/>
  <c r="Z118" i="56"/>
  <c r="Z117" i="56"/>
  <c r="I107" i="56"/>
  <c r="G107" i="56"/>
  <c r="I100" i="56"/>
  <c r="G100" i="56"/>
  <c r="Z87" i="56"/>
  <c r="Y76" i="56"/>
  <c r="X76" i="56"/>
  <c r="W76" i="56"/>
  <c r="V76" i="56"/>
  <c r="U76" i="56"/>
  <c r="T76" i="56"/>
  <c r="S76" i="56"/>
  <c r="R76" i="56"/>
  <c r="Q76" i="56"/>
  <c r="P76" i="56"/>
  <c r="O76" i="56"/>
  <c r="N76" i="56"/>
  <c r="M76" i="56"/>
  <c r="L76" i="56"/>
  <c r="K76" i="56"/>
  <c r="I76" i="56"/>
  <c r="F76" i="56"/>
  <c r="E76" i="56"/>
  <c r="C76" i="56"/>
  <c r="Z75" i="56"/>
  <c r="G75" i="56"/>
  <c r="Z74" i="56"/>
  <c r="G74" i="56"/>
  <c r="Z73" i="56"/>
  <c r="G73" i="56"/>
  <c r="Z72" i="56"/>
  <c r="G72" i="56"/>
  <c r="Z71" i="56"/>
  <c r="G71" i="56"/>
  <c r="Z70" i="56"/>
  <c r="G70" i="56"/>
  <c r="Z69" i="56"/>
  <c r="G69" i="56"/>
  <c r="Z68" i="56"/>
  <c r="G68" i="56"/>
  <c r="Z67" i="56"/>
  <c r="G67" i="56"/>
  <c r="Z66" i="56"/>
  <c r="G66" i="56"/>
  <c r="Z65" i="56"/>
  <c r="G65" i="56"/>
  <c r="Z64" i="56"/>
  <c r="G64" i="56"/>
  <c r="Z63" i="56"/>
  <c r="G63" i="56"/>
  <c r="Z62" i="56"/>
  <c r="G62" i="56"/>
  <c r="Z61" i="56"/>
  <c r="G61" i="56"/>
  <c r="Z60" i="56"/>
  <c r="G60" i="56"/>
  <c r="Z59" i="56"/>
  <c r="G59" i="56"/>
  <c r="Z58" i="56"/>
  <c r="G58" i="56"/>
  <c r="Z57" i="56"/>
  <c r="G57" i="56"/>
  <c r="Z56" i="56"/>
  <c r="G56" i="56"/>
  <c r="Z55" i="56"/>
  <c r="G55" i="56"/>
  <c r="Z54" i="56"/>
  <c r="G54" i="56"/>
  <c r="Z53" i="56"/>
  <c r="G53" i="56"/>
  <c r="Z52" i="56"/>
  <c r="G52" i="56"/>
  <c r="Z51" i="56"/>
  <c r="G51" i="56"/>
  <c r="Z50" i="56"/>
  <c r="G50" i="56"/>
  <c r="Z49" i="56"/>
  <c r="G49" i="56"/>
  <c r="Z48" i="56"/>
  <c r="G48" i="56"/>
  <c r="Z47" i="56"/>
  <c r="G47" i="56"/>
  <c r="Z46" i="56"/>
  <c r="G46" i="56"/>
  <c r="Z45" i="56"/>
  <c r="G45" i="56"/>
  <c r="Z44" i="56"/>
  <c r="G44" i="56"/>
  <c r="Z43" i="56"/>
  <c r="G43" i="56"/>
  <c r="Z42" i="56"/>
  <c r="G42" i="56"/>
  <c r="Z41" i="56"/>
  <c r="G41" i="56"/>
  <c r="Z40" i="56"/>
  <c r="G40" i="56"/>
  <c r="Z39" i="56"/>
  <c r="G39" i="56"/>
  <c r="Z38" i="56"/>
  <c r="G38" i="56"/>
  <c r="Z37" i="56"/>
  <c r="G37" i="56"/>
  <c r="Z36" i="56"/>
  <c r="G36" i="56"/>
  <c r="Z35" i="56"/>
  <c r="G35" i="56"/>
  <c r="Z34" i="56"/>
  <c r="G34" i="56"/>
  <c r="Z33" i="56"/>
  <c r="G33" i="56"/>
  <c r="Z32" i="56"/>
  <c r="G32" i="56"/>
  <c r="Z31" i="56"/>
  <c r="G31" i="56"/>
  <c r="Z30" i="56"/>
  <c r="G30" i="56"/>
  <c r="Z29" i="56"/>
  <c r="G29" i="56"/>
  <c r="Z28" i="56"/>
  <c r="G28" i="56"/>
  <c r="Z27" i="56"/>
  <c r="G27" i="56"/>
  <c r="Z26" i="56"/>
  <c r="G26" i="56"/>
  <c r="Z25" i="56"/>
  <c r="G25" i="56"/>
  <c r="Z24" i="56"/>
  <c r="G24" i="56"/>
  <c r="Z23" i="56"/>
  <c r="G23" i="56"/>
  <c r="Z22" i="56"/>
  <c r="G22" i="56"/>
  <c r="Z21" i="56"/>
  <c r="G21" i="56"/>
  <c r="Z20" i="56"/>
  <c r="G20" i="56"/>
  <c r="Z19" i="56"/>
  <c r="G19" i="56"/>
  <c r="Z18" i="56"/>
  <c r="G18" i="56"/>
  <c r="Z17" i="56"/>
  <c r="G17" i="56"/>
  <c r="Z16" i="56"/>
  <c r="G16" i="56"/>
  <c r="Z15" i="56"/>
  <c r="G15" i="56"/>
  <c r="Z14" i="56"/>
  <c r="G14" i="56"/>
  <c r="Z13" i="56"/>
  <c r="G13" i="56"/>
  <c r="Z12" i="56"/>
  <c r="G12" i="56"/>
  <c r="Z11" i="56"/>
  <c r="G11" i="56"/>
  <c r="Z10" i="56"/>
  <c r="G10" i="56"/>
  <c r="Z9" i="56"/>
  <c r="G9" i="56"/>
  <c r="Z8" i="56"/>
  <c r="G8" i="56"/>
  <c r="Z7" i="56"/>
  <c r="G7" i="56"/>
  <c r="Z6" i="56"/>
  <c r="G6" i="56"/>
  <c r="Z5" i="56"/>
  <c r="G5" i="56"/>
  <c r="Z114" i="55"/>
  <c r="Z113" i="55"/>
  <c r="Z112" i="55"/>
  <c r="Z88" i="55"/>
  <c r="Z87" i="55"/>
  <c r="Z86" i="55"/>
  <c r="Z85" i="55"/>
  <c r="Z84" i="55"/>
  <c r="Z83" i="55"/>
  <c r="Z82" i="55"/>
  <c r="Y77" i="55"/>
  <c r="X77" i="55"/>
  <c r="W77" i="55"/>
  <c r="V77" i="55"/>
  <c r="U77" i="55"/>
  <c r="T77" i="55"/>
  <c r="S77" i="55"/>
  <c r="R77" i="55"/>
  <c r="Q77" i="55"/>
  <c r="P77" i="55"/>
  <c r="O77" i="55"/>
  <c r="N77" i="55"/>
  <c r="M77" i="55"/>
  <c r="L77" i="55"/>
  <c r="K77" i="55"/>
  <c r="I77" i="55"/>
  <c r="E77" i="55"/>
  <c r="D77" i="55"/>
  <c r="C77" i="55"/>
  <c r="Z76" i="55"/>
  <c r="G76" i="55"/>
  <c r="Z75" i="55"/>
  <c r="G75" i="55"/>
  <c r="Z74" i="55"/>
  <c r="G74" i="55"/>
  <c r="Z73" i="55"/>
  <c r="G73" i="55"/>
  <c r="Z72" i="55"/>
  <c r="G72" i="55"/>
  <c r="Z71" i="55"/>
  <c r="G71" i="55"/>
  <c r="Z70" i="55"/>
  <c r="G70" i="55"/>
  <c r="Z69" i="55"/>
  <c r="G69" i="55"/>
  <c r="Z68" i="55"/>
  <c r="G68" i="55"/>
  <c r="Z67" i="55"/>
  <c r="G67" i="55"/>
  <c r="Z66" i="55"/>
  <c r="G66" i="55"/>
  <c r="Z65" i="55"/>
  <c r="G65" i="55"/>
  <c r="Z64" i="55"/>
  <c r="G64" i="55"/>
  <c r="Z63" i="55"/>
  <c r="G63" i="55"/>
  <c r="Z62" i="55"/>
  <c r="G62" i="55"/>
  <c r="Z61" i="55"/>
  <c r="G61" i="55"/>
  <c r="Z60" i="55"/>
  <c r="G60" i="55"/>
  <c r="Z59" i="55"/>
  <c r="G59" i="55"/>
  <c r="Z58" i="55"/>
  <c r="G58" i="55"/>
  <c r="Z57" i="55"/>
  <c r="G57" i="55"/>
  <c r="Z56" i="55"/>
  <c r="G56" i="55"/>
  <c r="Z55" i="55"/>
  <c r="G55" i="55"/>
  <c r="Z54" i="55"/>
  <c r="G54" i="55"/>
  <c r="Z53" i="55"/>
  <c r="G53" i="55"/>
  <c r="Z52" i="55"/>
  <c r="G52" i="55"/>
  <c r="Z51" i="55"/>
  <c r="G51" i="55"/>
  <c r="Z50" i="55"/>
  <c r="G50" i="55"/>
  <c r="Z49" i="55"/>
  <c r="G49" i="55"/>
  <c r="Z48" i="55"/>
  <c r="G48" i="55"/>
  <c r="Z47" i="55"/>
  <c r="G47" i="55"/>
  <c r="Z46" i="55"/>
  <c r="G46" i="55"/>
  <c r="Z45" i="55"/>
  <c r="G45" i="55"/>
  <c r="Z44" i="55"/>
  <c r="G44" i="55"/>
  <c r="Z43" i="55"/>
  <c r="G43" i="55"/>
  <c r="Z40" i="55"/>
  <c r="G40" i="55"/>
  <c r="Z39" i="55"/>
  <c r="G39" i="55"/>
  <c r="Z38" i="55"/>
  <c r="G38" i="55"/>
  <c r="Z37" i="55"/>
  <c r="G37" i="55"/>
  <c r="Z36" i="55"/>
  <c r="G36" i="55"/>
  <c r="Z35" i="55"/>
  <c r="G35" i="55"/>
  <c r="Z34" i="55"/>
  <c r="G34" i="55"/>
  <c r="Z33" i="55"/>
  <c r="G33" i="55"/>
  <c r="Z32" i="55"/>
  <c r="G32" i="55"/>
  <c r="Z31" i="55"/>
  <c r="G31" i="55"/>
  <c r="Z30" i="55"/>
  <c r="G30" i="55"/>
  <c r="Z29" i="55"/>
  <c r="G29" i="55"/>
  <c r="Z28" i="55"/>
  <c r="G28" i="55"/>
  <c r="Z27" i="55"/>
  <c r="G27" i="55"/>
  <c r="Z26" i="55"/>
  <c r="G26" i="55"/>
  <c r="Z25" i="55"/>
  <c r="G25" i="55"/>
  <c r="Z24" i="55"/>
  <c r="G24" i="55"/>
  <c r="Z23" i="55"/>
  <c r="G23" i="55"/>
  <c r="Z22" i="55"/>
  <c r="G22" i="55"/>
  <c r="Z21" i="55"/>
  <c r="G21" i="55"/>
  <c r="Z20" i="55"/>
  <c r="G20" i="55"/>
  <c r="Z19" i="55"/>
  <c r="G19" i="55"/>
  <c r="Z18" i="55"/>
  <c r="G18" i="55"/>
  <c r="Z17" i="55"/>
  <c r="G17" i="55"/>
  <c r="Z16" i="55"/>
  <c r="G16" i="55"/>
  <c r="Z15" i="55"/>
  <c r="G15" i="55"/>
  <c r="Z14" i="55"/>
  <c r="G14" i="55"/>
  <c r="Z13" i="55"/>
  <c r="G13" i="55"/>
  <c r="Z12" i="55"/>
  <c r="G12" i="55"/>
  <c r="Z11" i="55"/>
  <c r="G11" i="55"/>
  <c r="Z10" i="55"/>
  <c r="G10" i="55"/>
  <c r="Z9" i="55"/>
  <c r="G9" i="55"/>
  <c r="Z8" i="55"/>
  <c r="G8" i="55"/>
  <c r="Z7" i="55"/>
  <c r="G7" i="55"/>
  <c r="Z6" i="55"/>
  <c r="G6" i="55"/>
  <c r="Z5" i="55"/>
  <c r="G5" i="55"/>
  <c r="W118" i="54"/>
  <c r="V118" i="54"/>
  <c r="U118" i="54"/>
  <c r="T118" i="54"/>
  <c r="S118" i="54"/>
  <c r="R118" i="54"/>
  <c r="Q118" i="54"/>
  <c r="P118" i="54"/>
  <c r="O118" i="54"/>
  <c r="N118" i="54"/>
  <c r="M118" i="54"/>
  <c r="L118" i="54"/>
  <c r="K118" i="54"/>
  <c r="I118" i="54"/>
  <c r="G118" i="54"/>
  <c r="Z117" i="54"/>
  <c r="Z116" i="54"/>
  <c r="Z115" i="54"/>
  <c r="V111" i="54"/>
  <c r="U111" i="54"/>
  <c r="T111" i="54"/>
  <c r="S111" i="54"/>
  <c r="R111" i="54"/>
  <c r="Q111" i="54"/>
  <c r="P111" i="54"/>
  <c r="O111" i="54"/>
  <c r="N111" i="54"/>
  <c r="M111" i="54"/>
  <c r="L111" i="54"/>
  <c r="K111" i="54"/>
  <c r="I111" i="54"/>
  <c r="G111" i="54"/>
  <c r="W104" i="54"/>
  <c r="V104" i="54"/>
  <c r="U104" i="54"/>
  <c r="T104" i="54"/>
  <c r="S104" i="54"/>
  <c r="R104" i="54"/>
  <c r="Q104" i="54"/>
  <c r="P104" i="54"/>
  <c r="O104" i="54"/>
  <c r="N104" i="54"/>
  <c r="M104" i="54"/>
  <c r="L104" i="54"/>
  <c r="K104" i="54"/>
  <c r="I104" i="54"/>
  <c r="G104" i="54"/>
  <c r="Z96" i="54"/>
  <c r="Z91" i="54"/>
  <c r="Z90" i="54"/>
  <c r="Z89" i="54"/>
  <c r="Z88" i="54"/>
  <c r="Z87" i="54"/>
  <c r="Z86" i="54"/>
  <c r="Z85" i="54"/>
  <c r="Z84" i="54"/>
  <c r="Y80" i="54"/>
  <c r="X80" i="54"/>
  <c r="W80" i="54"/>
  <c r="V80" i="54"/>
  <c r="U80" i="54"/>
  <c r="T80" i="54"/>
  <c r="S80" i="54"/>
  <c r="R80" i="54"/>
  <c r="Q80" i="54"/>
  <c r="P80" i="54"/>
  <c r="O80" i="54"/>
  <c r="N80" i="54"/>
  <c r="M80" i="54"/>
  <c r="L80" i="54"/>
  <c r="K80" i="54"/>
  <c r="I80" i="54"/>
  <c r="E80" i="54"/>
  <c r="D80" i="54"/>
  <c r="C80" i="54"/>
  <c r="Z79" i="54"/>
  <c r="G79" i="54"/>
  <c r="Z78" i="54"/>
  <c r="G78" i="54"/>
  <c r="Z77" i="54"/>
  <c r="G77" i="54"/>
  <c r="Z76" i="54"/>
  <c r="G76" i="54"/>
  <c r="Z75" i="54"/>
  <c r="G75" i="54"/>
  <c r="Z74" i="54"/>
  <c r="G74" i="54"/>
  <c r="Z73" i="54"/>
  <c r="G73" i="54"/>
  <c r="Z72" i="54"/>
  <c r="G72" i="54"/>
  <c r="Z71" i="54"/>
  <c r="G71" i="54"/>
  <c r="Z70" i="54"/>
  <c r="G70" i="54"/>
  <c r="Z69" i="54"/>
  <c r="G69" i="54"/>
  <c r="Z68" i="54"/>
  <c r="G68" i="54"/>
  <c r="Z67" i="54"/>
  <c r="G67" i="54"/>
  <c r="Z66" i="54"/>
  <c r="G66" i="54"/>
  <c r="Z65" i="54"/>
  <c r="G65" i="54"/>
  <c r="Z64" i="54"/>
  <c r="G64" i="54"/>
  <c r="Z63" i="54"/>
  <c r="G63" i="54"/>
  <c r="Z62" i="54"/>
  <c r="G62" i="54"/>
  <c r="Z61" i="54"/>
  <c r="G61" i="54"/>
  <c r="Z60" i="54"/>
  <c r="G60" i="54"/>
  <c r="Z59" i="54"/>
  <c r="G59" i="54"/>
  <c r="Z58" i="54"/>
  <c r="G58" i="54"/>
  <c r="Z57" i="54"/>
  <c r="G57" i="54"/>
  <c r="Z56" i="54"/>
  <c r="G56" i="54"/>
  <c r="Z55" i="54"/>
  <c r="G55" i="54"/>
  <c r="Z54" i="54"/>
  <c r="G54" i="54"/>
  <c r="Z53" i="54"/>
  <c r="G53" i="54"/>
  <c r="Z52" i="54"/>
  <c r="G52" i="54"/>
  <c r="Z51" i="54"/>
  <c r="G51" i="54"/>
  <c r="Z50" i="54"/>
  <c r="G50" i="54"/>
  <c r="Z49" i="54"/>
  <c r="G49" i="54"/>
  <c r="Z48" i="54"/>
  <c r="G48" i="54"/>
  <c r="Z47" i="54"/>
  <c r="G47" i="54"/>
  <c r="Z46" i="54"/>
  <c r="G46" i="54"/>
  <c r="Z45" i="54"/>
  <c r="G45" i="54"/>
  <c r="Z44" i="54"/>
  <c r="G44" i="54"/>
  <c r="Z43" i="54"/>
  <c r="G43" i="54"/>
  <c r="Z42" i="54"/>
  <c r="G42" i="54"/>
  <c r="Z41" i="54"/>
  <c r="G41" i="54"/>
  <c r="Z40" i="54"/>
  <c r="G40" i="54"/>
  <c r="Z39" i="54"/>
  <c r="G39" i="54"/>
  <c r="Z38" i="54"/>
  <c r="G38" i="54"/>
  <c r="Z37" i="54"/>
  <c r="G37" i="54"/>
  <c r="Z36" i="54"/>
  <c r="G36" i="54"/>
  <c r="Z35" i="54"/>
  <c r="G35" i="54"/>
  <c r="Z34" i="54"/>
  <c r="G34" i="54"/>
  <c r="Z33" i="54"/>
  <c r="G33" i="54"/>
  <c r="Z32" i="54"/>
  <c r="G32" i="54"/>
  <c r="Z31" i="54"/>
  <c r="G31" i="54"/>
  <c r="Z30" i="54"/>
  <c r="G30" i="54"/>
  <c r="Z29" i="54"/>
  <c r="G29" i="54"/>
  <c r="Z28" i="54"/>
  <c r="G28" i="54"/>
  <c r="Z27" i="54"/>
  <c r="G27" i="54"/>
  <c r="Z26" i="54"/>
  <c r="G26" i="54"/>
  <c r="Z25" i="54"/>
  <c r="G25" i="54"/>
  <c r="Z24" i="54"/>
  <c r="G24" i="54"/>
  <c r="Z23" i="54"/>
  <c r="G23" i="54"/>
  <c r="Z22" i="54"/>
  <c r="G22" i="54"/>
  <c r="Z21" i="54"/>
  <c r="G21" i="54"/>
  <c r="Z20" i="54"/>
  <c r="G20" i="54"/>
  <c r="Z19" i="54"/>
  <c r="G19" i="54"/>
  <c r="Z18" i="54"/>
  <c r="G18" i="54"/>
  <c r="Z17" i="54"/>
  <c r="G17" i="54"/>
  <c r="Z16" i="54"/>
  <c r="G16" i="54"/>
  <c r="Z15" i="54"/>
  <c r="G15" i="54"/>
  <c r="Z14" i="54"/>
  <c r="G14" i="54"/>
  <c r="Z13" i="54"/>
  <c r="G13" i="54"/>
  <c r="Z12" i="54"/>
  <c r="G12" i="54"/>
  <c r="Z11" i="54"/>
  <c r="G11" i="54"/>
  <c r="Z10" i="54"/>
  <c r="G10" i="54"/>
  <c r="Z9" i="54"/>
  <c r="G9" i="54"/>
  <c r="Z8" i="54"/>
  <c r="G8" i="54"/>
  <c r="Z7" i="54"/>
  <c r="G7" i="54"/>
  <c r="Z6" i="54"/>
  <c r="G6" i="54"/>
  <c r="Z5" i="54"/>
  <c r="G5" i="54"/>
  <c r="W122" i="53"/>
  <c r="V122" i="53"/>
  <c r="U122" i="53"/>
  <c r="T122" i="53"/>
  <c r="S122" i="53"/>
  <c r="R122" i="53"/>
  <c r="Q122" i="53"/>
  <c r="P122" i="53"/>
  <c r="O122" i="53"/>
  <c r="N122" i="53"/>
  <c r="M122" i="53"/>
  <c r="L122" i="53"/>
  <c r="K122" i="53"/>
  <c r="J122" i="53"/>
  <c r="I122" i="53"/>
  <c r="G122" i="53"/>
  <c r="Z121" i="53"/>
  <c r="Z120" i="53"/>
  <c r="Z119" i="53"/>
  <c r="W115" i="53"/>
  <c r="V115" i="53"/>
  <c r="U115" i="53"/>
  <c r="T115" i="53"/>
  <c r="S115" i="53"/>
  <c r="R115" i="53"/>
  <c r="Q115" i="53"/>
  <c r="P115" i="53"/>
  <c r="O115" i="53"/>
  <c r="N115" i="53"/>
  <c r="M115" i="53"/>
  <c r="L115" i="53"/>
  <c r="K115" i="53"/>
  <c r="I115" i="53"/>
  <c r="G115" i="53"/>
  <c r="W108" i="53"/>
  <c r="V108" i="53"/>
  <c r="U108" i="53"/>
  <c r="T108" i="53"/>
  <c r="S108" i="53"/>
  <c r="R108" i="53"/>
  <c r="Q108" i="53"/>
  <c r="P108" i="53"/>
  <c r="O108" i="53"/>
  <c r="N108" i="53"/>
  <c r="M108" i="53"/>
  <c r="L108" i="53"/>
  <c r="K108" i="53"/>
  <c r="I108" i="53"/>
  <c r="G108" i="53"/>
  <c r="Z95" i="53"/>
  <c r="Z94" i="53"/>
  <c r="Z93" i="53"/>
  <c r="Z92" i="53"/>
  <c r="Z91" i="53"/>
  <c r="Z90" i="53"/>
  <c r="Z89" i="53"/>
  <c r="Y84" i="53"/>
  <c r="X84" i="53"/>
  <c r="W84" i="53"/>
  <c r="V84" i="53"/>
  <c r="U84" i="53"/>
  <c r="T84" i="53"/>
  <c r="S84" i="53"/>
  <c r="R84" i="53"/>
  <c r="Q84" i="53"/>
  <c r="P84" i="53"/>
  <c r="O84" i="53"/>
  <c r="N84" i="53"/>
  <c r="M84" i="53"/>
  <c r="L84" i="53"/>
  <c r="K84" i="53"/>
  <c r="J84" i="53"/>
  <c r="I84" i="53"/>
  <c r="F84" i="53"/>
  <c r="E84" i="53"/>
  <c r="D84" i="53"/>
  <c r="C84" i="53"/>
  <c r="Z83" i="53"/>
  <c r="G83" i="53"/>
  <c r="Z82" i="53"/>
  <c r="G82" i="53"/>
  <c r="Z81" i="53"/>
  <c r="G81" i="53"/>
  <c r="Z80" i="53"/>
  <c r="G80" i="53"/>
  <c r="Z79" i="53"/>
  <c r="G79" i="53"/>
  <c r="Z78" i="53"/>
  <c r="G78" i="53"/>
  <c r="Z77" i="53"/>
  <c r="G77" i="53"/>
  <c r="Z76" i="53"/>
  <c r="G76" i="53"/>
  <c r="Z75" i="53"/>
  <c r="G75" i="53"/>
  <c r="Z74" i="53"/>
  <c r="G74" i="53"/>
  <c r="Z73" i="53"/>
  <c r="G73" i="53"/>
  <c r="Z72" i="53"/>
  <c r="G72" i="53"/>
  <c r="Z71" i="53"/>
  <c r="G71" i="53"/>
  <c r="Z70" i="53"/>
  <c r="G70" i="53"/>
  <c r="Z69" i="53"/>
  <c r="G69" i="53"/>
  <c r="Z68" i="53"/>
  <c r="G68" i="53"/>
  <c r="Z67" i="53"/>
  <c r="G67" i="53"/>
  <c r="Z66" i="53"/>
  <c r="G66" i="53"/>
  <c r="Z65" i="53"/>
  <c r="G65" i="53"/>
  <c r="Z64" i="53"/>
  <c r="G64" i="53"/>
  <c r="Z63" i="53"/>
  <c r="G63" i="53"/>
  <c r="Z62" i="53"/>
  <c r="G62" i="53"/>
  <c r="Z61" i="53"/>
  <c r="G61" i="53"/>
  <c r="Z60" i="53"/>
  <c r="G60" i="53"/>
  <c r="Z59" i="53"/>
  <c r="G59" i="53"/>
  <c r="Z58" i="53"/>
  <c r="G58" i="53"/>
  <c r="Z57" i="53"/>
  <c r="G57" i="53"/>
  <c r="Z56" i="53"/>
  <c r="G56" i="53"/>
  <c r="Z55" i="53"/>
  <c r="G55" i="53"/>
  <c r="Z54" i="53"/>
  <c r="G54" i="53"/>
  <c r="Z53" i="53"/>
  <c r="G53" i="53"/>
  <c r="Z52" i="53"/>
  <c r="G52" i="53"/>
  <c r="Z51" i="53"/>
  <c r="G51" i="53"/>
  <c r="Z50" i="53"/>
  <c r="G50" i="53"/>
  <c r="Z49" i="53"/>
  <c r="G49" i="53"/>
  <c r="Z48" i="53"/>
  <c r="G48" i="53"/>
  <c r="Z47" i="53"/>
  <c r="G47" i="53"/>
  <c r="Z46" i="53"/>
  <c r="G46" i="53"/>
  <c r="Z45" i="53"/>
  <c r="G45" i="53"/>
  <c r="Z44" i="53"/>
  <c r="G44" i="53"/>
  <c r="Z43" i="53"/>
  <c r="G43" i="53"/>
  <c r="Z42" i="53"/>
  <c r="G42" i="53"/>
  <c r="Z41" i="53"/>
  <c r="G41" i="53"/>
  <c r="Z40" i="53"/>
  <c r="G40" i="53"/>
  <c r="Z39" i="53"/>
  <c r="G39" i="53"/>
  <c r="Z38" i="53"/>
  <c r="G38" i="53"/>
  <c r="Z37" i="53"/>
  <c r="G37" i="53"/>
  <c r="Z36" i="53"/>
  <c r="G36" i="53"/>
  <c r="Z35" i="53"/>
  <c r="G35" i="53"/>
  <c r="Z34" i="53"/>
  <c r="G34" i="53"/>
  <c r="Z33" i="53"/>
  <c r="G33" i="53"/>
  <c r="Z32" i="53"/>
  <c r="G32" i="53"/>
  <c r="Z31" i="53"/>
  <c r="G31" i="53"/>
  <c r="Z30" i="53"/>
  <c r="G30" i="53"/>
  <c r="Z29" i="53"/>
  <c r="G29" i="53"/>
  <c r="Z28" i="53"/>
  <c r="G28" i="53"/>
  <c r="Z27" i="53"/>
  <c r="G27" i="53"/>
  <c r="Z26" i="53"/>
  <c r="G26" i="53"/>
  <c r="Z25" i="53"/>
  <c r="G25" i="53"/>
  <c r="Z24" i="53"/>
  <c r="G24" i="53"/>
  <c r="Z23" i="53"/>
  <c r="G23" i="53"/>
  <c r="Z22" i="53"/>
  <c r="G22" i="53"/>
  <c r="Z21" i="53"/>
  <c r="G21" i="53"/>
  <c r="Z20" i="53"/>
  <c r="G20" i="53"/>
  <c r="Z18" i="53"/>
  <c r="G18" i="53"/>
  <c r="Z17" i="53"/>
  <c r="G17" i="53"/>
  <c r="Z16" i="53"/>
  <c r="G16" i="53"/>
  <c r="Z15" i="53"/>
  <c r="G15" i="53"/>
  <c r="Z14" i="53"/>
  <c r="G14" i="53"/>
  <c r="Z13" i="53"/>
  <c r="G13" i="53"/>
  <c r="Z12" i="53"/>
  <c r="G12" i="53"/>
  <c r="Z11" i="53"/>
  <c r="G11" i="53"/>
  <c r="Z10" i="53"/>
  <c r="G10" i="53"/>
  <c r="Z9" i="53"/>
  <c r="G9" i="53"/>
  <c r="Z8" i="53"/>
  <c r="G8" i="53"/>
  <c r="Z7" i="53"/>
  <c r="G7" i="53"/>
  <c r="Z6" i="53"/>
  <c r="G6" i="53"/>
  <c r="Z5" i="53"/>
  <c r="G5" i="53"/>
  <c r="I122" i="52"/>
  <c r="G122" i="52"/>
  <c r="Z121" i="52"/>
  <c r="Z120" i="52"/>
  <c r="Z119" i="52"/>
  <c r="J115" i="52"/>
  <c r="I115" i="52"/>
  <c r="G115" i="52"/>
  <c r="J108" i="52"/>
  <c r="I108" i="52"/>
  <c r="G108" i="52"/>
  <c r="Z95" i="52"/>
  <c r="Z94" i="52"/>
  <c r="Z93" i="52"/>
  <c r="Z92" i="52"/>
  <c r="Z91" i="52"/>
  <c r="Z88" i="52"/>
  <c r="Y84" i="52"/>
  <c r="X84" i="52"/>
  <c r="W84" i="52"/>
  <c r="V84" i="52"/>
  <c r="U84" i="52"/>
  <c r="T84" i="52"/>
  <c r="S84" i="52"/>
  <c r="R84" i="52"/>
  <c r="Q84" i="52"/>
  <c r="P84" i="52"/>
  <c r="O84" i="52"/>
  <c r="N84" i="52"/>
  <c r="M84" i="52"/>
  <c r="L84" i="52"/>
  <c r="K84" i="52"/>
  <c r="J84" i="52"/>
  <c r="I84" i="52"/>
  <c r="F84" i="52"/>
  <c r="E84" i="52"/>
  <c r="D84" i="52"/>
  <c r="C84" i="52"/>
  <c r="Z83" i="52"/>
  <c r="G83" i="52"/>
  <c r="Z82" i="52"/>
  <c r="G82" i="52"/>
  <c r="Z81" i="52"/>
  <c r="G81" i="52"/>
  <c r="Z80" i="52"/>
  <c r="G80" i="52"/>
  <c r="Z79" i="52"/>
  <c r="G79" i="52"/>
  <c r="Z78" i="52"/>
  <c r="G78" i="52"/>
  <c r="Z77" i="52"/>
  <c r="G77" i="52"/>
  <c r="Z76" i="52"/>
  <c r="G76" i="52"/>
  <c r="Z75" i="52"/>
  <c r="G75" i="52"/>
  <c r="Z74" i="52"/>
  <c r="G74" i="52"/>
  <c r="Z73" i="52"/>
  <c r="G73" i="52"/>
  <c r="Z72" i="52"/>
  <c r="G72" i="52"/>
  <c r="Z71" i="52"/>
  <c r="G71" i="52"/>
  <c r="Z70" i="52"/>
  <c r="G70" i="52"/>
  <c r="Z69" i="52"/>
  <c r="G69" i="52"/>
  <c r="Z68" i="52"/>
  <c r="G68" i="52"/>
  <c r="Z67" i="52"/>
  <c r="G67" i="52"/>
  <c r="Z66" i="52"/>
  <c r="G66" i="52"/>
  <c r="Z65" i="52"/>
  <c r="G65" i="52"/>
  <c r="Z64" i="52"/>
  <c r="G64" i="52"/>
  <c r="Z63" i="52"/>
  <c r="G63" i="52"/>
  <c r="Z62" i="52"/>
  <c r="G62" i="52"/>
  <c r="Z61" i="52"/>
  <c r="G61" i="52"/>
  <c r="Z60" i="52"/>
  <c r="G60" i="52"/>
  <c r="Z59" i="52"/>
  <c r="G59" i="52"/>
  <c r="Z58" i="52"/>
  <c r="G58" i="52"/>
  <c r="Z57" i="52"/>
  <c r="G57" i="52"/>
  <c r="Z56" i="52"/>
  <c r="G56" i="52"/>
  <c r="Z55" i="52"/>
  <c r="G55" i="52"/>
  <c r="Z54" i="52"/>
  <c r="G54" i="52"/>
  <c r="Z53" i="52"/>
  <c r="G53" i="52"/>
  <c r="Z52" i="52"/>
  <c r="G52" i="52"/>
  <c r="Z51" i="52"/>
  <c r="G51" i="52"/>
  <c r="Z50" i="52"/>
  <c r="G50" i="52"/>
  <c r="Z49" i="52"/>
  <c r="G49" i="52"/>
  <c r="Z48" i="52"/>
  <c r="G48" i="52"/>
  <c r="Z47" i="52"/>
  <c r="G47" i="52"/>
  <c r="Z46" i="52"/>
  <c r="G46" i="52"/>
  <c r="Z45" i="52"/>
  <c r="G45" i="52"/>
  <c r="Z44" i="52"/>
  <c r="G44" i="52"/>
  <c r="Z43" i="52"/>
  <c r="G43" i="52"/>
  <c r="Z42" i="52"/>
  <c r="G42" i="52"/>
  <c r="Z41" i="52"/>
  <c r="G41" i="52"/>
  <c r="Z40" i="52"/>
  <c r="G40" i="52"/>
  <c r="Z39" i="52"/>
  <c r="G39" i="52"/>
  <c r="Z38" i="52"/>
  <c r="G38" i="52"/>
  <c r="Z37" i="52"/>
  <c r="G37" i="52"/>
  <c r="Z36" i="52"/>
  <c r="G36" i="52"/>
  <c r="Z35" i="52"/>
  <c r="G35" i="52"/>
  <c r="Z34" i="52"/>
  <c r="G34" i="52"/>
  <c r="Z33" i="52"/>
  <c r="G33" i="52"/>
  <c r="Z32" i="52"/>
  <c r="G32" i="52"/>
  <c r="Z31" i="52"/>
  <c r="G31" i="52"/>
  <c r="Z30" i="52"/>
  <c r="G30" i="52"/>
  <c r="Z29" i="52"/>
  <c r="G29" i="52"/>
  <c r="Z28" i="52"/>
  <c r="G28" i="52"/>
  <c r="Z27" i="52"/>
  <c r="G27" i="52"/>
  <c r="Z26" i="52"/>
  <c r="G26" i="52"/>
  <c r="Z25" i="52"/>
  <c r="G25" i="52"/>
  <c r="Z24" i="52"/>
  <c r="G24" i="52"/>
  <c r="Z23" i="52"/>
  <c r="G23" i="52"/>
  <c r="Z22" i="52"/>
  <c r="G22" i="52"/>
  <c r="Z21" i="52"/>
  <c r="G21" i="52"/>
  <c r="Z20" i="52"/>
  <c r="G20" i="52"/>
  <c r="Z19" i="52"/>
  <c r="G19" i="52"/>
  <c r="Z18" i="52"/>
  <c r="G18" i="52"/>
  <c r="Z17" i="52"/>
  <c r="G17" i="52"/>
  <c r="Z16" i="52"/>
  <c r="G16" i="52"/>
  <c r="Z15" i="52"/>
  <c r="G15" i="52"/>
  <c r="Z14" i="52"/>
  <c r="G14" i="52"/>
  <c r="Z13" i="52"/>
  <c r="G13" i="52"/>
  <c r="Z12" i="52"/>
  <c r="G12" i="52"/>
  <c r="Z11" i="52"/>
  <c r="G11" i="52"/>
  <c r="Z10" i="52"/>
  <c r="G10" i="52"/>
  <c r="Z9" i="52"/>
  <c r="G9" i="52"/>
  <c r="Z8" i="52"/>
  <c r="G8" i="52"/>
  <c r="Z7" i="52"/>
  <c r="G7" i="52"/>
  <c r="Z6" i="52"/>
  <c r="G6" i="52"/>
  <c r="Z5" i="52"/>
  <c r="G5" i="52"/>
  <c r="K84" i="51"/>
  <c r="K108" i="51"/>
  <c r="K115" i="51"/>
  <c r="K122" i="51"/>
  <c r="E84" i="51"/>
  <c r="C84" i="51"/>
  <c r="Z100" i="51"/>
  <c r="Z120" i="50"/>
  <c r="Z119" i="50"/>
  <c r="Z121" i="50"/>
  <c r="Z122" i="50"/>
  <c r="Z123" i="50"/>
  <c r="Z124" i="50"/>
  <c r="Y125" i="50"/>
  <c r="X125" i="50"/>
  <c r="W125" i="50"/>
  <c r="V125" i="50"/>
  <c r="U125" i="50"/>
  <c r="T125" i="50"/>
  <c r="S125" i="50"/>
  <c r="R125" i="50"/>
  <c r="Q125" i="50"/>
  <c r="P125" i="50"/>
  <c r="O125" i="50"/>
  <c r="N125" i="50"/>
  <c r="M125" i="50"/>
  <c r="L125" i="50"/>
  <c r="K125" i="50"/>
  <c r="J119" i="50"/>
  <c r="J120" i="50"/>
  <c r="I125" i="50"/>
  <c r="G125" i="50"/>
  <c r="J115" i="50"/>
  <c r="I115" i="50"/>
  <c r="G115" i="50"/>
  <c r="Z114" i="50"/>
  <c r="Z113" i="50"/>
  <c r="Z112" i="50"/>
  <c r="Y115" i="50"/>
  <c r="X115" i="50"/>
  <c r="W115" i="50"/>
  <c r="V115" i="50"/>
  <c r="U115" i="50"/>
  <c r="T115" i="50"/>
  <c r="S115" i="50"/>
  <c r="R115" i="50"/>
  <c r="Q115" i="50"/>
  <c r="P115" i="50"/>
  <c r="O115" i="50"/>
  <c r="N115" i="50"/>
  <c r="M115" i="50"/>
  <c r="L115" i="50"/>
  <c r="K115" i="50"/>
  <c r="Z107" i="50"/>
  <c r="Z106" i="50"/>
  <c r="Z105" i="50"/>
  <c r="Z104" i="50"/>
  <c r="Z103" i="50"/>
  <c r="Z102" i="50"/>
  <c r="Z101" i="50"/>
  <c r="Z100" i="50"/>
  <c r="Y108" i="50"/>
  <c r="X108" i="50"/>
  <c r="W108" i="50"/>
  <c r="V108" i="50"/>
  <c r="U108" i="50"/>
  <c r="T108" i="50"/>
  <c r="S108" i="50"/>
  <c r="R108" i="50"/>
  <c r="Q108" i="50"/>
  <c r="P108" i="50"/>
  <c r="O108" i="50"/>
  <c r="N108" i="50"/>
  <c r="M108" i="50"/>
  <c r="L108" i="50"/>
  <c r="K108" i="50"/>
  <c r="J108" i="50"/>
  <c r="I108" i="50"/>
  <c r="I84" i="50"/>
  <c r="I96" i="50"/>
  <c r="G108" i="50"/>
  <c r="Z95" i="50"/>
  <c r="Z94" i="50"/>
  <c r="Z93" i="50"/>
  <c r="Z92" i="50"/>
  <c r="Z91" i="50"/>
  <c r="Z90" i="50"/>
  <c r="Z88" i="50"/>
  <c r="Z89" i="50"/>
  <c r="Y96" i="50"/>
  <c r="X96" i="50"/>
  <c r="W96" i="50"/>
  <c r="V96" i="50"/>
  <c r="U96" i="50"/>
  <c r="T96" i="50"/>
  <c r="S96" i="50"/>
  <c r="R96" i="50"/>
  <c r="Q96" i="50"/>
  <c r="P96" i="50"/>
  <c r="O96" i="50"/>
  <c r="N96" i="50"/>
  <c r="M96" i="50"/>
  <c r="L96" i="50"/>
  <c r="K96" i="50"/>
  <c r="G96" i="50"/>
  <c r="J96" i="50"/>
  <c r="J84" i="50"/>
  <c r="F84" i="50"/>
  <c r="E84" i="50"/>
  <c r="I115" i="49"/>
  <c r="I108" i="49"/>
  <c r="J108" i="49"/>
  <c r="J96" i="47"/>
  <c r="D84" i="50"/>
  <c r="C84" i="50"/>
  <c r="J115" i="47"/>
  <c r="W122" i="51"/>
  <c r="V122" i="51"/>
  <c r="U122" i="51"/>
  <c r="T122" i="51"/>
  <c r="S122" i="51"/>
  <c r="R122" i="51"/>
  <c r="Q122" i="51"/>
  <c r="P122" i="51"/>
  <c r="O122" i="51"/>
  <c r="N122" i="51"/>
  <c r="M122" i="51"/>
  <c r="L122" i="51"/>
  <c r="J122" i="51"/>
  <c r="I122" i="51"/>
  <c r="G122" i="51"/>
  <c r="Z121" i="51"/>
  <c r="Z120" i="51"/>
  <c r="Z119" i="51"/>
  <c r="W115" i="51"/>
  <c r="V115" i="51"/>
  <c r="U115" i="51"/>
  <c r="T115" i="51"/>
  <c r="M127" i="51"/>
  <c r="S115" i="51"/>
  <c r="R115" i="51"/>
  <c r="Q115" i="51"/>
  <c r="P115" i="51"/>
  <c r="O115" i="51"/>
  <c r="N115" i="51"/>
  <c r="M115" i="51"/>
  <c r="L115" i="51"/>
  <c r="I115" i="51"/>
  <c r="G115" i="51"/>
  <c r="W108" i="51"/>
  <c r="V108" i="51"/>
  <c r="U108" i="51"/>
  <c r="T108" i="51"/>
  <c r="S108" i="51"/>
  <c r="R108" i="51"/>
  <c r="Q108" i="51"/>
  <c r="P108" i="51"/>
  <c r="O108" i="51"/>
  <c r="N108" i="51"/>
  <c r="M108" i="51"/>
  <c r="L108" i="51"/>
  <c r="I108" i="51"/>
  <c r="G108" i="51"/>
  <c r="Y84" i="51"/>
  <c r="X84" i="51"/>
  <c r="W84" i="51"/>
  <c r="V84" i="51"/>
  <c r="U84" i="51"/>
  <c r="T84" i="51"/>
  <c r="S84" i="51"/>
  <c r="R84" i="51"/>
  <c r="Q84" i="51"/>
  <c r="P84" i="51"/>
  <c r="O84" i="51"/>
  <c r="N84" i="51"/>
  <c r="M84" i="51"/>
  <c r="L84" i="51"/>
  <c r="I84" i="51"/>
  <c r="D84" i="51"/>
  <c r="Z83" i="51"/>
  <c r="G83" i="51"/>
  <c r="Z82" i="51"/>
  <c r="G82" i="51"/>
  <c r="Z81" i="51"/>
  <c r="G81" i="51"/>
  <c r="Z80" i="51"/>
  <c r="G80" i="51"/>
  <c r="Z79" i="51"/>
  <c r="G79" i="51"/>
  <c r="Z78" i="51"/>
  <c r="G78" i="51"/>
  <c r="Z77" i="51"/>
  <c r="G77" i="51"/>
  <c r="Z76" i="51"/>
  <c r="G76" i="51"/>
  <c r="Z75" i="51"/>
  <c r="G75" i="51"/>
  <c r="Z74" i="51"/>
  <c r="G74" i="51"/>
  <c r="Z73" i="51"/>
  <c r="G73" i="51"/>
  <c r="Z72" i="51"/>
  <c r="G72" i="51"/>
  <c r="Z71" i="51"/>
  <c r="G71" i="51"/>
  <c r="Z70" i="51"/>
  <c r="G70" i="51"/>
  <c r="Z69" i="51"/>
  <c r="G69" i="51"/>
  <c r="Z68" i="51"/>
  <c r="G68" i="51"/>
  <c r="Z67" i="51"/>
  <c r="G67" i="51"/>
  <c r="Z66" i="51"/>
  <c r="G66" i="51"/>
  <c r="Z65" i="51"/>
  <c r="G65" i="51"/>
  <c r="Z64" i="51"/>
  <c r="G64" i="51"/>
  <c r="Z63" i="51"/>
  <c r="G63" i="51"/>
  <c r="Z62" i="51"/>
  <c r="G62" i="51"/>
  <c r="Z61" i="51"/>
  <c r="G61" i="51"/>
  <c r="Z60" i="51"/>
  <c r="G60" i="51"/>
  <c r="Z59" i="51"/>
  <c r="G59" i="51"/>
  <c r="Z58" i="51"/>
  <c r="G58" i="51"/>
  <c r="Z57" i="51"/>
  <c r="G57" i="51"/>
  <c r="Z56" i="51"/>
  <c r="G56" i="51"/>
  <c r="Z55" i="51"/>
  <c r="G55" i="51"/>
  <c r="Z54" i="51"/>
  <c r="G54" i="51"/>
  <c r="Z53" i="51"/>
  <c r="G53" i="51"/>
  <c r="Z52" i="51"/>
  <c r="G52" i="51"/>
  <c r="Z51" i="51"/>
  <c r="G51" i="51"/>
  <c r="Z50" i="51"/>
  <c r="G50" i="51"/>
  <c r="Z49" i="51"/>
  <c r="G49" i="51"/>
  <c r="Z48" i="51"/>
  <c r="G48" i="51"/>
  <c r="Z47" i="51"/>
  <c r="G47" i="51"/>
  <c r="Z46" i="51"/>
  <c r="G46" i="51"/>
  <c r="Z45" i="51"/>
  <c r="G45" i="51"/>
  <c r="Z44" i="51"/>
  <c r="G44" i="51"/>
  <c r="Z43" i="51"/>
  <c r="G43" i="51"/>
  <c r="Z42" i="51"/>
  <c r="G42" i="51"/>
  <c r="Z41" i="51"/>
  <c r="G41" i="51"/>
  <c r="Z40" i="51"/>
  <c r="G40" i="51"/>
  <c r="Z39" i="51"/>
  <c r="G39" i="51"/>
  <c r="Z38" i="51"/>
  <c r="G38" i="51"/>
  <c r="Z37" i="51"/>
  <c r="G37" i="51"/>
  <c r="Z36" i="51"/>
  <c r="G36" i="51"/>
  <c r="Z35" i="51"/>
  <c r="G35" i="51"/>
  <c r="Z34" i="51"/>
  <c r="G34" i="51"/>
  <c r="Z33" i="51"/>
  <c r="G33" i="51"/>
  <c r="Z32" i="51"/>
  <c r="G32" i="51"/>
  <c r="Z31" i="51"/>
  <c r="G31" i="51"/>
  <c r="Z30" i="51"/>
  <c r="G30" i="51"/>
  <c r="Z29" i="51"/>
  <c r="G29" i="51"/>
  <c r="Z28" i="51"/>
  <c r="G28" i="51"/>
  <c r="Z27" i="51"/>
  <c r="G27" i="51"/>
  <c r="Z26" i="51"/>
  <c r="G26" i="51"/>
  <c r="Z25" i="51"/>
  <c r="G25" i="51"/>
  <c r="Z24" i="51"/>
  <c r="G24" i="51"/>
  <c r="Z23" i="51"/>
  <c r="G23" i="51"/>
  <c r="Z22" i="51"/>
  <c r="G22" i="51"/>
  <c r="Z21" i="51"/>
  <c r="G21" i="51"/>
  <c r="Z20" i="51"/>
  <c r="G20" i="51"/>
  <c r="Z19" i="51"/>
  <c r="G19" i="51"/>
  <c r="Z18" i="51"/>
  <c r="G18" i="51"/>
  <c r="Z17" i="51"/>
  <c r="G17" i="51"/>
  <c r="Z16" i="51"/>
  <c r="G16" i="51"/>
  <c r="Z15" i="51"/>
  <c r="G15" i="51"/>
  <c r="Z14" i="51"/>
  <c r="G14" i="51"/>
  <c r="Z13" i="51"/>
  <c r="G13" i="51"/>
  <c r="Z12" i="51"/>
  <c r="G12" i="51"/>
  <c r="Z11" i="51"/>
  <c r="G11" i="51"/>
  <c r="Z10" i="51"/>
  <c r="G10" i="51"/>
  <c r="Z9" i="51"/>
  <c r="G9" i="51"/>
  <c r="Z8" i="51"/>
  <c r="G8" i="51"/>
  <c r="Z7" i="51"/>
  <c r="G7" i="51"/>
  <c r="Z6" i="51"/>
  <c r="G6" i="51"/>
  <c r="Z5" i="51"/>
  <c r="G5" i="51"/>
  <c r="G115" i="49"/>
  <c r="G125" i="49"/>
  <c r="Z112" i="49"/>
  <c r="Y115" i="49"/>
  <c r="X115" i="49"/>
  <c r="W115" i="49"/>
  <c r="V115" i="49"/>
  <c r="U115" i="49"/>
  <c r="T115" i="49"/>
  <c r="S115" i="49"/>
  <c r="R115" i="49"/>
  <c r="Q115" i="49"/>
  <c r="P115" i="49"/>
  <c r="O115" i="49"/>
  <c r="N115" i="49"/>
  <c r="M115" i="49"/>
  <c r="L115" i="49"/>
  <c r="K115" i="49"/>
  <c r="J113" i="49"/>
  <c r="J115" i="49"/>
  <c r="Z122" i="49"/>
  <c r="Z113" i="49"/>
  <c r="X108" i="49"/>
  <c r="Y108" i="49"/>
  <c r="Z107" i="49"/>
  <c r="Z106" i="49"/>
  <c r="Z105" i="49"/>
  <c r="Z104" i="49"/>
  <c r="Z103" i="49"/>
  <c r="Z102" i="49"/>
  <c r="Z101" i="49"/>
  <c r="Z100" i="49"/>
  <c r="J120" i="49"/>
  <c r="L125" i="49"/>
  <c r="M125" i="49"/>
  <c r="N125" i="49"/>
  <c r="O125" i="49"/>
  <c r="P125" i="49"/>
  <c r="Q125" i="49"/>
  <c r="R125" i="49"/>
  <c r="S125" i="49"/>
  <c r="T125" i="49"/>
  <c r="U125" i="49"/>
  <c r="V125" i="49"/>
  <c r="W125" i="49"/>
  <c r="X125" i="49"/>
  <c r="Y125" i="49"/>
  <c r="K125" i="49"/>
  <c r="I125" i="49"/>
  <c r="J119" i="49"/>
  <c r="Z121" i="49"/>
  <c r="Z120" i="49"/>
  <c r="Z119" i="49"/>
  <c r="Y84" i="50"/>
  <c r="X84" i="50"/>
  <c r="W84" i="50"/>
  <c r="V84" i="50"/>
  <c r="U84" i="50"/>
  <c r="T84" i="50"/>
  <c r="S84" i="50"/>
  <c r="R84" i="50"/>
  <c r="Q84" i="50"/>
  <c r="P84" i="50"/>
  <c r="O84" i="50"/>
  <c r="N84" i="50"/>
  <c r="M84" i="50"/>
  <c r="L84" i="50"/>
  <c r="K84" i="50"/>
  <c r="Z83" i="50"/>
  <c r="G83" i="50"/>
  <c r="Z82" i="50"/>
  <c r="G82" i="50"/>
  <c r="Z81" i="50"/>
  <c r="G81" i="50"/>
  <c r="Z80" i="50"/>
  <c r="G80" i="50"/>
  <c r="Z79" i="50"/>
  <c r="G79" i="50"/>
  <c r="Z78" i="50"/>
  <c r="G78" i="50"/>
  <c r="Z77" i="50"/>
  <c r="G77" i="50"/>
  <c r="Z76" i="50"/>
  <c r="G76" i="50"/>
  <c r="Z75" i="50"/>
  <c r="G75" i="50"/>
  <c r="Z74" i="50"/>
  <c r="G74" i="50"/>
  <c r="Z73" i="50"/>
  <c r="G73" i="50"/>
  <c r="Z72" i="50"/>
  <c r="G72" i="50"/>
  <c r="Z71" i="50"/>
  <c r="G71" i="50"/>
  <c r="Z70" i="50"/>
  <c r="G70" i="50"/>
  <c r="Z69" i="50"/>
  <c r="G69" i="50"/>
  <c r="Z68" i="50"/>
  <c r="G68" i="50"/>
  <c r="Z67" i="50"/>
  <c r="G67" i="50"/>
  <c r="Z66" i="50"/>
  <c r="G66" i="50"/>
  <c r="Z65" i="50"/>
  <c r="G65" i="50"/>
  <c r="Z64" i="50"/>
  <c r="G64" i="50"/>
  <c r="Z63" i="50"/>
  <c r="G63" i="50"/>
  <c r="Z62" i="50"/>
  <c r="G62" i="50"/>
  <c r="Z61" i="50"/>
  <c r="G61" i="50"/>
  <c r="Z60" i="50"/>
  <c r="G60" i="50"/>
  <c r="Z59" i="50"/>
  <c r="G59" i="50"/>
  <c r="Z58" i="50"/>
  <c r="G58" i="50"/>
  <c r="Z57" i="50"/>
  <c r="G57" i="50"/>
  <c r="Z56" i="50"/>
  <c r="G56" i="50"/>
  <c r="Z55" i="50"/>
  <c r="G55" i="50"/>
  <c r="Z54" i="50"/>
  <c r="G54" i="50"/>
  <c r="Z53" i="50"/>
  <c r="G53" i="50"/>
  <c r="Z52" i="50"/>
  <c r="G52" i="50"/>
  <c r="Z51" i="50"/>
  <c r="G51" i="50"/>
  <c r="Z50" i="50"/>
  <c r="G50" i="50"/>
  <c r="Z49" i="50"/>
  <c r="G49" i="50"/>
  <c r="Z48" i="50"/>
  <c r="G48" i="50"/>
  <c r="Z47" i="50"/>
  <c r="G47" i="50"/>
  <c r="Z46" i="50"/>
  <c r="G46" i="50"/>
  <c r="Z45" i="50"/>
  <c r="G45" i="50"/>
  <c r="Z44" i="50"/>
  <c r="G44" i="50"/>
  <c r="Z43" i="50"/>
  <c r="G43" i="50"/>
  <c r="Z42" i="50"/>
  <c r="G42" i="50"/>
  <c r="Z41" i="50"/>
  <c r="G41" i="50"/>
  <c r="Z40" i="50"/>
  <c r="G40" i="50"/>
  <c r="Z39" i="50"/>
  <c r="G39" i="50"/>
  <c r="Z38" i="50"/>
  <c r="G38" i="50"/>
  <c r="Z37" i="50"/>
  <c r="G37" i="50"/>
  <c r="Z36" i="50"/>
  <c r="G36" i="50"/>
  <c r="Z35" i="50"/>
  <c r="G35" i="50"/>
  <c r="Z34" i="50"/>
  <c r="G34" i="50"/>
  <c r="Z33" i="50"/>
  <c r="G33" i="50"/>
  <c r="Z32" i="50"/>
  <c r="G32" i="50"/>
  <c r="Z31" i="50"/>
  <c r="G31" i="50"/>
  <c r="Z30" i="50"/>
  <c r="G30" i="50"/>
  <c r="Z29" i="50"/>
  <c r="G29" i="50"/>
  <c r="Z28" i="50"/>
  <c r="G28" i="50"/>
  <c r="Z27" i="50"/>
  <c r="G27" i="50"/>
  <c r="Z26" i="50"/>
  <c r="G26" i="50"/>
  <c r="Z25" i="50"/>
  <c r="G25" i="50"/>
  <c r="Z24" i="50"/>
  <c r="G24" i="50"/>
  <c r="Z23" i="50"/>
  <c r="G23" i="50"/>
  <c r="Z22" i="50"/>
  <c r="G22" i="50"/>
  <c r="Z21" i="50"/>
  <c r="G21" i="50"/>
  <c r="Z20" i="50"/>
  <c r="G20" i="50"/>
  <c r="Z19" i="50"/>
  <c r="G19" i="50"/>
  <c r="Z18" i="50"/>
  <c r="G18" i="50"/>
  <c r="Z17" i="50"/>
  <c r="G17" i="50"/>
  <c r="Z16" i="50"/>
  <c r="G16" i="50"/>
  <c r="Z15" i="50"/>
  <c r="G15" i="50"/>
  <c r="Z14" i="50"/>
  <c r="G14" i="50"/>
  <c r="Z13" i="50"/>
  <c r="G13" i="50"/>
  <c r="Z12" i="50"/>
  <c r="G12" i="50"/>
  <c r="Z11" i="50"/>
  <c r="G11" i="50"/>
  <c r="Z10" i="50"/>
  <c r="G10" i="50"/>
  <c r="Z9" i="50"/>
  <c r="G9" i="50"/>
  <c r="Z8" i="50"/>
  <c r="G8" i="50"/>
  <c r="Z7" i="50"/>
  <c r="G7" i="50"/>
  <c r="Z6" i="50"/>
  <c r="G6" i="50"/>
  <c r="Z5" i="50"/>
  <c r="G5" i="50"/>
  <c r="G19" i="47"/>
  <c r="Z19" i="47"/>
  <c r="Z89" i="47"/>
  <c r="Z107" i="47"/>
  <c r="Z106" i="47"/>
  <c r="Z105" i="47"/>
  <c r="Z104" i="47"/>
  <c r="Z103" i="47"/>
  <c r="Z102" i="47"/>
  <c r="Z101" i="47"/>
  <c r="Z100" i="47"/>
  <c r="Z113" i="47"/>
  <c r="Z114" i="47"/>
  <c r="Z112" i="47"/>
  <c r="G96" i="47"/>
  <c r="I91" i="47"/>
  <c r="I96" i="47"/>
  <c r="Z124" i="49"/>
  <c r="Z123" i="49"/>
  <c r="W108" i="49"/>
  <c r="V108" i="49"/>
  <c r="U108" i="49"/>
  <c r="T108" i="49"/>
  <c r="S108" i="49"/>
  <c r="R108" i="49"/>
  <c r="Q108" i="49"/>
  <c r="P108" i="49"/>
  <c r="O108" i="49"/>
  <c r="N108" i="49"/>
  <c r="M108" i="49"/>
  <c r="L108" i="49"/>
  <c r="K108" i="49"/>
  <c r="G108" i="49"/>
  <c r="Y96" i="49"/>
  <c r="X96" i="49"/>
  <c r="W96" i="49"/>
  <c r="V96" i="49"/>
  <c r="U96" i="49"/>
  <c r="T96" i="49"/>
  <c r="S96" i="49"/>
  <c r="R96" i="49"/>
  <c r="Q96" i="49"/>
  <c r="P96" i="49"/>
  <c r="O96" i="49"/>
  <c r="N96" i="49"/>
  <c r="M96" i="49"/>
  <c r="L96" i="49"/>
  <c r="K96" i="49"/>
  <c r="J96" i="49"/>
  <c r="I96" i="49"/>
  <c r="G96" i="49"/>
  <c r="Z95" i="49"/>
  <c r="Z94" i="49"/>
  <c r="Z93" i="49"/>
  <c r="Z92" i="49"/>
  <c r="Z91" i="49"/>
  <c r="Z90" i="49"/>
  <c r="Z89" i="49"/>
  <c r="Y84" i="49"/>
  <c r="X84" i="49"/>
  <c r="W84" i="49"/>
  <c r="V84" i="49"/>
  <c r="U84" i="49"/>
  <c r="T84" i="49"/>
  <c r="S84" i="49"/>
  <c r="R84" i="49"/>
  <c r="Q84" i="49"/>
  <c r="P84" i="49"/>
  <c r="O84" i="49"/>
  <c r="N84" i="49"/>
  <c r="M84" i="49"/>
  <c r="L84" i="49"/>
  <c r="K84" i="49"/>
  <c r="J84" i="49"/>
  <c r="I84" i="49"/>
  <c r="F84" i="49"/>
  <c r="E84" i="49"/>
  <c r="D84" i="49"/>
  <c r="C84" i="49"/>
  <c r="Z83" i="49"/>
  <c r="G83" i="49"/>
  <c r="Z82" i="49"/>
  <c r="G82" i="49"/>
  <c r="Z81" i="49"/>
  <c r="G81" i="49"/>
  <c r="Z80" i="49"/>
  <c r="G80" i="49"/>
  <c r="Z79" i="49"/>
  <c r="G79" i="49"/>
  <c r="Z78" i="49"/>
  <c r="G78" i="49"/>
  <c r="Z77" i="49"/>
  <c r="G77" i="49"/>
  <c r="Z76" i="49"/>
  <c r="G76" i="49"/>
  <c r="Z75" i="49"/>
  <c r="G75" i="49"/>
  <c r="Z74" i="49"/>
  <c r="G74" i="49"/>
  <c r="Z73" i="49"/>
  <c r="G73" i="49"/>
  <c r="Z72" i="49"/>
  <c r="G72" i="49"/>
  <c r="Z71" i="49"/>
  <c r="G71" i="49"/>
  <c r="Z70" i="49"/>
  <c r="G70" i="49"/>
  <c r="Z69" i="49"/>
  <c r="G69" i="49"/>
  <c r="Z68" i="49"/>
  <c r="G68" i="49"/>
  <c r="Z67" i="49"/>
  <c r="G67" i="49"/>
  <c r="Z66" i="49"/>
  <c r="G66" i="49"/>
  <c r="Z65" i="49"/>
  <c r="G65" i="49"/>
  <c r="Z64" i="49"/>
  <c r="G64" i="49"/>
  <c r="Z63" i="49"/>
  <c r="G63" i="49"/>
  <c r="Z62" i="49"/>
  <c r="G62" i="49"/>
  <c r="Z61" i="49"/>
  <c r="G61" i="49"/>
  <c r="Z60" i="49"/>
  <c r="G60" i="49"/>
  <c r="Z59" i="49"/>
  <c r="G59" i="49"/>
  <c r="Z58" i="49"/>
  <c r="G58" i="49"/>
  <c r="Z57" i="49"/>
  <c r="G57" i="49"/>
  <c r="Z56" i="49"/>
  <c r="G56" i="49"/>
  <c r="Z55" i="49"/>
  <c r="G55" i="49"/>
  <c r="Z54" i="49"/>
  <c r="G54" i="49"/>
  <c r="Z53" i="49"/>
  <c r="G53" i="49"/>
  <c r="Z52" i="49"/>
  <c r="G52" i="49"/>
  <c r="Z51" i="49"/>
  <c r="G51" i="49"/>
  <c r="Z50" i="49"/>
  <c r="G50" i="49"/>
  <c r="Z49" i="49"/>
  <c r="G49" i="49"/>
  <c r="Z48" i="49"/>
  <c r="G48" i="49"/>
  <c r="Z47" i="49"/>
  <c r="G47" i="49"/>
  <c r="Z46" i="49"/>
  <c r="G46" i="49"/>
  <c r="Z45" i="49"/>
  <c r="G45" i="49"/>
  <c r="Z44" i="49"/>
  <c r="G44" i="49"/>
  <c r="Z43" i="49"/>
  <c r="G43" i="49"/>
  <c r="Z42" i="49"/>
  <c r="G42" i="49"/>
  <c r="Z41" i="49"/>
  <c r="G41" i="49"/>
  <c r="Z40" i="49"/>
  <c r="G40" i="49"/>
  <c r="Z39" i="49"/>
  <c r="G39" i="49"/>
  <c r="Z38" i="49"/>
  <c r="G38" i="49"/>
  <c r="Z37" i="49"/>
  <c r="G37" i="49"/>
  <c r="Z36" i="49"/>
  <c r="G36" i="49"/>
  <c r="Z35" i="49"/>
  <c r="G35" i="49"/>
  <c r="Z34" i="49"/>
  <c r="G34" i="49"/>
  <c r="Z33" i="49"/>
  <c r="G33" i="49"/>
  <c r="Z32" i="49"/>
  <c r="G32" i="49"/>
  <c r="Z31" i="49"/>
  <c r="G31" i="49"/>
  <c r="Z30" i="49"/>
  <c r="G30" i="49"/>
  <c r="Z29" i="49"/>
  <c r="G29" i="49"/>
  <c r="Z28" i="49"/>
  <c r="G28" i="49"/>
  <c r="Z27" i="49"/>
  <c r="G27" i="49"/>
  <c r="Z26" i="49"/>
  <c r="G26" i="49"/>
  <c r="Z25" i="49"/>
  <c r="G25" i="49"/>
  <c r="Z24" i="49"/>
  <c r="G24" i="49"/>
  <c r="Z23" i="49"/>
  <c r="G23" i="49"/>
  <c r="Z22" i="49"/>
  <c r="G22" i="49"/>
  <c r="Z21" i="49"/>
  <c r="G21" i="49"/>
  <c r="Z20" i="49"/>
  <c r="G20" i="49"/>
  <c r="Z19" i="49"/>
  <c r="G19" i="49"/>
  <c r="Z18" i="49"/>
  <c r="G18" i="49"/>
  <c r="Z17" i="49"/>
  <c r="G17" i="49"/>
  <c r="Z16" i="49"/>
  <c r="G16" i="49"/>
  <c r="Z15" i="49"/>
  <c r="G15" i="49"/>
  <c r="Z14" i="49"/>
  <c r="G14" i="49"/>
  <c r="Z13" i="49"/>
  <c r="G13" i="49"/>
  <c r="Z12" i="49"/>
  <c r="G12" i="49"/>
  <c r="Z11" i="49"/>
  <c r="G11" i="49"/>
  <c r="Z10" i="49"/>
  <c r="G10" i="49"/>
  <c r="Z9" i="49"/>
  <c r="G9" i="49"/>
  <c r="Z8" i="49"/>
  <c r="G8" i="49"/>
  <c r="Z7" i="49"/>
  <c r="G7" i="49"/>
  <c r="Z6" i="49"/>
  <c r="G6" i="49"/>
  <c r="Z5" i="49"/>
  <c r="G5" i="49"/>
  <c r="Z122" i="46"/>
  <c r="Z121" i="46"/>
  <c r="Z120" i="46"/>
  <c r="Z115" i="46"/>
  <c r="Z114" i="46"/>
  <c r="Z113" i="46"/>
  <c r="Z112" i="46"/>
  <c r="Z107" i="46"/>
  <c r="Z106" i="46"/>
  <c r="Z105" i="46"/>
  <c r="Z104" i="46"/>
  <c r="Z103" i="46"/>
  <c r="Z102" i="46"/>
  <c r="Z101" i="46"/>
  <c r="Z100" i="46"/>
  <c r="Y116" i="46"/>
  <c r="Y129" i="46"/>
  <c r="X116" i="46"/>
  <c r="X129" i="46"/>
  <c r="W116" i="46"/>
  <c r="V116" i="46"/>
  <c r="U116" i="46"/>
  <c r="T116" i="46"/>
  <c r="S116" i="46"/>
  <c r="R116" i="46"/>
  <c r="Q116" i="46"/>
  <c r="P116" i="46"/>
  <c r="O116" i="46"/>
  <c r="N116" i="46"/>
  <c r="M116" i="46"/>
  <c r="L116" i="46"/>
  <c r="K116" i="46"/>
  <c r="Y96" i="46"/>
  <c r="Y128" i="46"/>
  <c r="X96" i="46"/>
  <c r="X128" i="46"/>
  <c r="W96" i="46"/>
  <c r="V96" i="46"/>
  <c r="U96" i="46"/>
  <c r="T96" i="46"/>
  <c r="S96" i="46"/>
  <c r="R96" i="46"/>
  <c r="Q96" i="46"/>
  <c r="P96" i="46"/>
  <c r="O96" i="46"/>
  <c r="O108" i="46"/>
  <c r="N96" i="46"/>
  <c r="M96" i="46"/>
  <c r="L96" i="46"/>
  <c r="K96" i="46"/>
  <c r="J116" i="46"/>
  <c r="J96" i="46"/>
  <c r="I89" i="46"/>
  <c r="I96" i="46"/>
  <c r="I114" i="46"/>
  <c r="I116" i="46"/>
  <c r="Y96" i="47"/>
  <c r="Y127" i="47"/>
  <c r="X96" i="47"/>
  <c r="X127" i="47"/>
  <c r="W96" i="47"/>
  <c r="V96" i="47"/>
  <c r="U96" i="47"/>
  <c r="T96" i="47"/>
  <c r="S96" i="47"/>
  <c r="R96" i="47"/>
  <c r="Q96" i="47"/>
  <c r="P96" i="47"/>
  <c r="O96" i="47"/>
  <c r="O108" i="47"/>
  <c r="N96" i="47"/>
  <c r="M96" i="47"/>
  <c r="L96" i="47"/>
  <c r="K96" i="47"/>
  <c r="W122" i="47"/>
  <c r="V122" i="47"/>
  <c r="U122" i="47"/>
  <c r="T122" i="47"/>
  <c r="S122" i="47"/>
  <c r="R122" i="47"/>
  <c r="Q122" i="47"/>
  <c r="P122" i="47"/>
  <c r="O122" i="47"/>
  <c r="N122" i="47"/>
  <c r="M122" i="47"/>
  <c r="L122" i="47"/>
  <c r="K122" i="47"/>
  <c r="J122" i="47"/>
  <c r="I122" i="47"/>
  <c r="G122" i="47"/>
  <c r="Z121" i="47"/>
  <c r="Z120" i="47"/>
  <c r="Z119" i="47"/>
  <c r="W115" i="47"/>
  <c r="V115" i="47"/>
  <c r="U115" i="47"/>
  <c r="T115" i="47"/>
  <c r="S115" i="47"/>
  <c r="R115" i="47"/>
  <c r="Q115" i="47"/>
  <c r="P115" i="47"/>
  <c r="O115" i="47"/>
  <c r="N115" i="47"/>
  <c r="M115" i="47"/>
  <c r="L115" i="47"/>
  <c r="K115" i="47"/>
  <c r="I115" i="47"/>
  <c r="G115" i="47"/>
  <c r="W108" i="47"/>
  <c r="V108" i="47"/>
  <c r="U108" i="47"/>
  <c r="U127" i="47"/>
  <c r="T108" i="47"/>
  <c r="S108" i="47"/>
  <c r="S127" i="47"/>
  <c r="R108" i="47"/>
  <c r="Q108" i="47"/>
  <c r="P108" i="47"/>
  <c r="N108" i="47"/>
  <c r="M108" i="47"/>
  <c r="L108" i="47"/>
  <c r="K108" i="47"/>
  <c r="J108" i="47"/>
  <c r="I108" i="47"/>
  <c r="G108" i="47"/>
  <c r="Z95" i="47"/>
  <c r="Z94" i="47"/>
  <c r="Z93" i="47"/>
  <c r="Z90" i="47"/>
  <c r="Z92" i="47"/>
  <c r="Z88" i="47"/>
  <c r="Z91" i="47"/>
  <c r="Y84" i="47"/>
  <c r="Y128" i="47"/>
  <c r="X84" i="47"/>
  <c r="W84" i="47"/>
  <c r="V84" i="47"/>
  <c r="U84" i="47"/>
  <c r="T84" i="47"/>
  <c r="S84" i="47"/>
  <c r="R84" i="47"/>
  <c r="Q84" i="47"/>
  <c r="P84" i="47"/>
  <c r="O84" i="47"/>
  <c r="N84" i="47"/>
  <c r="M84" i="47"/>
  <c r="L84" i="47"/>
  <c r="K84" i="47"/>
  <c r="I84" i="47"/>
  <c r="E84" i="47"/>
  <c r="C84" i="47"/>
  <c r="Z83" i="47"/>
  <c r="G83" i="47"/>
  <c r="Z82" i="47"/>
  <c r="G82" i="47"/>
  <c r="Z81" i="47"/>
  <c r="G81" i="47"/>
  <c r="Z80" i="47"/>
  <c r="G80" i="47"/>
  <c r="Z79" i="47"/>
  <c r="G79" i="47"/>
  <c r="Z78" i="47"/>
  <c r="G78" i="47"/>
  <c r="Z77" i="47"/>
  <c r="G77" i="47"/>
  <c r="Z76" i="47"/>
  <c r="G76" i="47"/>
  <c r="Z75" i="47"/>
  <c r="G75" i="47"/>
  <c r="Z74" i="47"/>
  <c r="G74" i="47"/>
  <c r="Z73" i="47"/>
  <c r="G73" i="47"/>
  <c r="Z72" i="47"/>
  <c r="G72" i="47"/>
  <c r="Z71" i="47"/>
  <c r="G71" i="47"/>
  <c r="Z70" i="47"/>
  <c r="G70" i="47"/>
  <c r="Z69" i="47"/>
  <c r="G69" i="47"/>
  <c r="Z68" i="47"/>
  <c r="G68" i="47"/>
  <c r="Z67" i="47"/>
  <c r="G67" i="47"/>
  <c r="Z66" i="47"/>
  <c r="G66" i="47"/>
  <c r="Z65" i="47"/>
  <c r="G65" i="47"/>
  <c r="Z64" i="47"/>
  <c r="G64" i="47"/>
  <c r="Z63" i="47"/>
  <c r="G63" i="47"/>
  <c r="Z62" i="47"/>
  <c r="G62" i="47"/>
  <c r="Z61" i="47"/>
  <c r="G61" i="47"/>
  <c r="Z60" i="47"/>
  <c r="G60" i="47"/>
  <c r="Z59" i="47"/>
  <c r="G59" i="47"/>
  <c r="Z58" i="47"/>
  <c r="G58" i="47"/>
  <c r="Z57" i="47"/>
  <c r="G57" i="47"/>
  <c r="Z56" i="47"/>
  <c r="G56" i="47"/>
  <c r="Z55" i="47"/>
  <c r="G55" i="47"/>
  <c r="Z54" i="47"/>
  <c r="G54" i="47"/>
  <c r="Z53" i="47"/>
  <c r="G53" i="47"/>
  <c r="Z52" i="47"/>
  <c r="G52" i="47"/>
  <c r="Z51" i="47"/>
  <c r="G51" i="47"/>
  <c r="Z50" i="47"/>
  <c r="G50" i="47"/>
  <c r="Z49" i="47"/>
  <c r="G49" i="47"/>
  <c r="Z48" i="47"/>
  <c r="G48" i="47"/>
  <c r="Z47" i="47"/>
  <c r="G47" i="47"/>
  <c r="Z46" i="47"/>
  <c r="G46" i="47"/>
  <c r="Z45" i="47"/>
  <c r="G45" i="47"/>
  <c r="Z44" i="47"/>
  <c r="G44" i="47"/>
  <c r="Z43" i="47"/>
  <c r="G43" i="47"/>
  <c r="Z42" i="47"/>
  <c r="G42" i="47"/>
  <c r="Z41" i="47"/>
  <c r="G41" i="47"/>
  <c r="Z40" i="47"/>
  <c r="G40" i="47"/>
  <c r="Z39" i="47"/>
  <c r="G39" i="47"/>
  <c r="Z38" i="47"/>
  <c r="G38" i="47"/>
  <c r="Z37" i="47"/>
  <c r="G37" i="47"/>
  <c r="Z36" i="47"/>
  <c r="G36" i="47"/>
  <c r="Z35" i="47"/>
  <c r="G35" i="47"/>
  <c r="Z34" i="47"/>
  <c r="G34" i="47"/>
  <c r="Z33" i="47"/>
  <c r="G33" i="47"/>
  <c r="Z32" i="47"/>
  <c r="G32" i="47"/>
  <c r="Z31" i="47"/>
  <c r="G31" i="47"/>
  <c r="Z30" i="47"/>
  <c r="G30" i="47"/>
  <c r="Z29" i="47"/>
  <c r="G29" i="47"/>
  <c r="Z28" i="47"/>
  <c r="G28" i="47"/>
  <c r="Z27" i="47"/>
  <c r="G27" i="47"/>
  <c r="Z26" i="47"/>
  <c r="G26" i="47"/>
  <c r="Z25" i="47"/>
  <c r="G25" i="47"/>
  <c r="Z24" i="47"/>
  <c r="G24" i="47"/>
  <c r="Z23" i="47"/>
  <c r="G23" i="47"/>
  <c r="Z22" i="47"/>
  <c r="G22" i="47"/>
  <c r="Z21" i="47"/>
  <c r="G21" i="47"/>
  <c r="Z20" i="47"/>
  <c r="G20" i="47"/>
  <c r="Z18" i="47"/>
  <c r="G18" i="47"/>
  <c r="Z17" i="47"/>
  <c r="G17" i="47"/>
  <c r="Z16" i="47"/>
  <c r="G16" i="47"/>
  <c r="Z15" i="47"/>
  <c r="G15" i="47"/>
  <c r="Z14" i="47"/>
  <c r="G14" i="47"/>
  <c r="Z13" i="47"/>
  <c r="G13" i="47"/>
  <c r="Z12" i="47"/>
  <c r="G12" i="47"/>
  <c r="Z11" i="47"/>
  <c r="G11" i="47"/>
  <c r="Z10" i="47"/>
  <c r="G10" i="47"/>
  <c r="Z9" i="47"/>
  <c r="G9" i="47"/>
  <c r="Z8" i="47"/>
  <c r="G8" i="47"/>
  <c r="Z7" i="47"/>
  <c r="G7" i="47"/>
  <c r="Z6" i="47"/>
  <c r="G6" i="47"/>
  <c r="Z5" i="47"/>
  <c r="G5" i="47"/>
  <c r="J112" i="45"/>
  <c r="J116" i="45"/>
  <c r="I96" i="45"/>
  <c r="J103" i="45"/>
  <c r="J102" i="45"/>
  <c r="J100" i="45"/>
  <c r="Z114" i="45"/>
  <c r="J88" i="45"/>
  <c r="J96" i="45"/>
  <c r="W123" i="46"/>
  <c r="V123" i="46"/>
  <c r="U123" i="46"/>
  <c r="T123" i="46"/>
  <c r="S123" i="46"/>
  <c r="R123" i="46"/>
  <c r="Q123" i="46"/>
  <c r="P123" i="46"/>
  <c r="O123" i="46"/>
  <c r="N123" i="46"/>
  <c r="M123" i="46"/>
  <c r="L123" i="46"/>
  <c r="K123" i="46"/>
  <c r="J123" i="46"/>
  <c r="I123" i="46"/>
  <c r="G123" i="46"/>
  <c r="G116" i="46"/>
  <c r="W108" i="46"/>
  <c r="V108" i="46"/>
  <c r="U108" i="46"/>
  <c r="T108" i="46"/>
  <c r="S108" i="46"/>
  <c r="R108" i="46"/>
  <c r="Q108" i="46"/>
  <c r="P108" i="46"/>
  <c r="N108" i="46"/>
  <c r="M108" i="46"/>
  <c r="L108" i="46"/>
  <c r="K108" i="46"/>
  <c r="J108" i="46"/>
  <c r="I108" i="46"/>
  <c r="G108" i="46"/>
  <c r="G96" i="46"/>
  <c r="Z95" i="46"/>
  <c r="Z94" i="46"/>
  <c r="Z93" i="46"/>
  <c r="Z92" i="46"/>
  <c r="Z91" i="46"/>
  <c r="Z90" i="46"/>
  <c r="Z89" i="46"/>
  <c r="Z88" i="46"/>
  <c r="Y84" i="46"/>
  <c r="X84" i="46"/>
  <c r="W84" i="46"/>
  <c r="V84" i="46"/>
  <c r="U84" i="46"/>
  <c r="T84" i="46"/>
  <c r="S84" i="46"/>
  <c r="R84" i="46"/>
  <c r="Q84" i="46"/>
  <c r="P84" i="46"/>
  <c r="O84" i="46"/>
  <c r="N84" i="46"/>
  <c r="M84" i="46"/>
  <c r="L84" i="46"/>
  <c r="K84" i="46"/>
  <c r="J84" i="46"/>
  <c r="I84" i="46"/>
  <c r="E84" i="46"/>
  <c r="D84" i="46"/>
  <c r="C84" i="46"/>
  <c r="Z83" i="46"/>
  <c r="G83" i="46"/>
  <c r="Z82" i="46"/>
  <c r="G82" i="46"/>
  <c r="Z81" i="46"/>
  <c r="G81" i="46"/>
  <c r="Z80" i="46"/>
  <c r="G80" i="46"/>
  <c r="Z79" i="46"/>
  <c r="G79" i="46"/>
  <c r="Z78" i="46"/>
  <c r="G78" i="46"/>
  <c r="Z77" i="46"/>
  <c r="G77" i="46"/>
  <c r="Z76" i="46"/>
  <c r="G76" i="46"/>
  <c r="Z75" i="46"/>
  <c r="G75" i="46"/>
  <c r="Z74" i="46"/>
  <c r="G74" i="46"/>
  <c r="Z73" i="46"/>
  <c r="G73" i="46"/>
  <c r="Z72" i="46"/>
  <c r="G72" i="46"/>
  <c r="Z71" i="46"/>
  <c r="G71" i="46"/>
  <c r="Z70" i="46"/>
  <c r="G70" i="46"/>
  <c r="Z69" i="46"/>
  <c r="G69" i="46"/>
  <c r="Z68" i="46"/>
  <c r="G68" i="46"/>
  <c r="Z67" i="46"/>
  <c r="G67" i="46"/>
  <c r="Z66" i="46"/>
  <c r="G66" i="46"/>
  <c r="Z65" i="46"/>
  <c r="G65" i="46"/>
  <c r="Z64" i="46"/>
  <c r="G64" i="46"/>
  <c r="Z63" i="46"/>
  <c r="G63" i="46"/>
  <c r="Z62" i="46"/>
  <c r="G62" i="46"/>
  <c r="Z61" i="46"/>
  <c r="G61" i="46"/>
  <c r="Z60" i="46"/>
  <c r="G60" i="46"/>
  <c r="Z59" i="46"/>
  <c r="G59" i="46"/>
  <c r="Z58" i="46"/>
  <c r="G58" i="46"/>
  <c r="Z57" i="46"/>
  <c r="G57" i="46"/>
  <c r="Z56" i="46"/>
  <c r="G56" i="46"/>
  <c r="Z55" i="46"/>
  <c r="G55" i="46"/>
  <c r="Z54" i="46"/>
  <c r="G54" i="46"/>
  <c r="Z53" i="46"/>
  <c r="G53" i="46"/>
  <c r="Z52" i="46"/>
  <c r="G52" i="46"/>
  <c r="Z51" i="46"/>
  <c r="G51" i="46"/>
  <c r="Z50" i="46"/>
  <c r="G50" i="46"/>
  <c r="Z49" i="46"/>
  <c r="G49" i="46"/>
  <c r="Z48" i="46"/>
  <c r="G48" i="46"/>
  <c r="Z47" i="46"/>
  <c r="G47" i="46"/>
  <c r="Z46" i="46"/>
  <c r="G46" i="46"/>
  <c r="Z45" i="46"/>
  <c r="G45" i="46"/>
  <c r="Z44" i="46"/>
  <c r="G44" i="46"/>
  <c r="Z43" i="46"/>
  <c r="G43" i="46"/>
  <c r="Z42" i="46"/>
  <c r="G42" i="46"/>
  <c r="Z41" i="46"/>
  <c r="G41" i="46"/>
  <c r="Z40" i="46"/>
  <c r="G40" i="46"/>
  <c r="Z39" i="46"/>
  <c r="G39" i="46"/>
  <c r="Z38" i="46"/>
  <c r="G38" i="46"/>
  <c r="Z37" i="46"/>
  <c r="G37" i="46"/>
  <c r="Z36" i="46"/>
  <c r="G36" i="46"/>
  <c r="Z35" i="46"/>
  <c r="G35" i="46"/>
  <c r="Z34" i="46"/>
  <c r="G34" i="46"/>
  <c r="Z33" i="46"/>
  <c r="G33" i="46"/>
  <c r="Z32" i="46"/>
  <c r="G32" i="46"/>
  <c r="Z31" i="46"/>
  <c r="G31" i="46"/>
  <c r="Z30" i="46"/>
  <c r="G30" i="46"/>
  <c r="Z29" i="46"/>
  <c r="G29" i="46"/>
  <c r="Z28" i="46"/>
  <c r="G28" i="46"/>
  <c r="Z27" i="46"/>
  <c r="G27" i="46"/>
  <c r="Z26" i="46"/>
  <c r="G26" i="46"/>
  <c r="Z25" i="46"/>
  <c r="G25" i="46"/>
  <c r="Z24" i="46"/>
  <c r="G24" i="46"/>
  <c r="Z23" i="46"/>
  <c r="G23" i="46"/>
  <c r="Z22" i="46"/>
  <c r="G22" i="46"/>
  <c r="Z21" i="46"/>
  <c r="G21" i="46"/>
  <c r="Z20" i="46"/>
  <c r="G20" i="46"/>
  <c r="F84" i="46"/>
  <c r="Z19" i="46"/>
  <c r="G19" i="46"/>
  <c r="Z18" i="46"/>
  <c r="G18" i="46"/>
  <c r="Z17" i="46"/>
  <c r="G17" i="46"/>
  <c r="Z16" i="46"/>
  <c r="G16" i="46"/>
  <c r="Z15" i="46"/>
  <c r="G15" i="46"/>
  <c r="Z14" i="46"/>
  <c r="G14" i="46"/>
  <c r="Z13" i="46"/>
  <c r="G13" i="46"/>
  <c r="Z12" i="46"/>
  <c r="G12" i="46"/>
  <c r="Z11" i="46"/>
  <c r="G11" i="46"/>
  <c r="Z10" i="46"/>
  <c r="G10" i="46"/>
  <c r="Z9" i="46"/>
  <c r="G9" i="46"/>
  <c r="Z8" i="46"/>
  <c r="G8" i="46"/>
  <c r="Z7" i="46"/>
  <c r="G7" i="46"/>
  <c r="Z6" i="46"/>
  <c r="G6" i="46"/>
  <c r="Z5" i="46"/>
  <c r="G5" i="46"/>
  <c r="V143" i="38"/>
  <c r="U143" i="38"/>
  <c r="T143" i="38"/>
  <c r="S143" i="38"/>
  <c r="R143" i="38"/>
  <c r="Q143" i="38"/>
  <c r="P143" i="38"/>
  <c r="O143" i="38"/>
  <c r="N143" i="38"/>
  <c r="M143" i="38"/>
  <c r="L143" i="38"/>
  <c r="K143" i="38"/>
  <c r="J143" i="38"/>
  <c r="I143" i="38"/>
  <c r="G143" i="38"/>
  <c r="V129" i="38"/>
  <c r="U129" i="38"/>
  <c r="T129" i="38"/>
  <c r="S129" i="38"/>
  <c r="R129" i="38"/>
  <c r="Q129" i="38"/>
  <c r="P129" i="38"/>
  <c r="O129" i="38"/>
  <c r="N129" i="38"/>
  <c r="M129" i="38"/>
  <c r="L129" i="38"/>
  <c r="K129" i="38"/>
  <c r="J129" i="38"/>
  <c r="I129" i="38"/>
  <c r="G129" i="38"/>
  <c r="J75" i="45"/>
  <c r="Z75" i="45"/>
  <c r="G75" i="45"/>
  <c r="Z74" i="45"/>
  <c r="G74" i="45"/>
  <c r="Z73" i="45"/>
  <c r="G73" i="45"/>
  <c r="Z72" i="45"/>
  <c r="G72" i="45"/>
  <c r="Z71" i="45"/>
  <c r="G71" i="45"/>
  <c r="Z70" i="45"/>
  <c r="G70" i="45"/>
  <c r="Z69" i="45"/>
  <c r="G69" i="45"/>
  <c r="Z68" i="45"/>
  <c r="G68" i="45"/>
  <c r="Z67" i="45"/>
  <c r="G67" i="45"/>
  <c r="Z66" i="45"/>
  <c r="G66" i="45"/>
  <c r="Z65" i="45"/>
  <c r="G65" i="45"/>
  <c r="Z64" i="45"/>
  <c r="G64" i="45"/>
  <c r="Z63" i="45"/>
  <c r="G63" i="45"/>
  <c r="Z62" i="45"/>
  <c r="G62" i="45"/>
  <c r="Z61" i="45"/>
  <c r="G61" i="45"/>
  <c r="Z60" i="45"/>
  <c r="G60" i="45"/>
  <c r="L123" i="45"/>
  <c r="L116" i="45"/>
  <c r="L108" i="45"/>
  <c r="L96" i="45"/>
  <c r="L84" i="45"/>
  <c r="J123" i="45"/>
  <c r="I123" i="45"/>
  <c r="I116" i="45"/>
  <c r="I108" i="45"/>
  <c r="I84" i="45"/>
  <c r="J101" i="25"/>
  <c r="I101" i="25"/>
  <c r="J94" i="25"/>
  <c r="I94" i="25"/>
  <c r="J87" i="25"/>
  <c r="I87" i="25"/>
  <c r="J74" i="25"/>
  <c r="I74" i="25"/>
  <c r="J68" i="25"/>
  <c r="I68" i="25"/>
  <c r="L101" i="25"/>
  <c r="L94" i="25"/>
  <c r="L87" i="25"/>
  <c r="L74" i="25"/>
  <c r="L68" i="25"/>
  <c r="Z122" i="45"/>
  <c r="Z121" i="45"/>
  <c r="Z120" i="45"/>
  <c r="Z115" i="45"/>
  <c r="Z112" i="45"/>
  <c r="Z107" i="45"/>
  <c r="Z106" i="45"/>
  <c r="Z105" i="45"/>
  <c r="Z104" i="45"/>
  <c r="Z103" i="45"/>
  <c r="Z102" i="45"/>
  <c r="Z101" i="45"/>
  <c r="Z100" i="45"/>
  <c r="Z95" i="45"/>
  <c r="Z94" i="45"/>
  <c r="Z93" i="45"/>
  <c r="Z89" i="45"/>
  <c r="Z88" i="45"/>
  <c r="Z90" i="45"/>
  <c r="Y84" i="45"/>
  <c r="Y125" i="45"/>
  <c r="X84" i="45"/>
  <c r="X125" i="45"/>
  <c r="Z83" i="45"/>
  <c r="Z82" i="45"/>
  <c r="Z81" i="45"/>
  <c r="Z80" i="45"/>
  <c r="Z79" i="45"/>
  <c r="Z78" i="45"/>
  <c r="Z77" i="45"/>
  <c r="Z76" i="45"/>
  <c r="Z59" i="45"/>
  <c r="Z58" i="45"/>
  <c r="Z57" i="45"/>
  <c r="Z56" i="45"/>
  <c r="Z55" i="45"/>
  <c r="Z54" i="45"/>
  <c r="Z53" i="45"/>
  <c r="Z52" i="45"/>
  <c r="Z51" i="45"/>
  <c r="Z50" i="45"/>
  <c r="Z49" i="45"/>
  <c r="Z48" i="45"/>
  <c r="Z47" i="45"/>
  <c r="Z46" i="45"/>
  <c r="Z45" i="45"/>
  <c r="Z44" i="45"/>
  <c r="Z43" i="45"/>
  <c r="Z42" i="45"/>
  <c r="Z41" i="45"/>
  <c r="Z40" i="45"/>
  <c r="Z39" i="45"/>
  <c r="Z38" i="45"/>
  <c r="Z37" i="45"/>
  <c r="Z36" i="45"/>
  <c r="Z35" i="45"/>
  <c r="Z34" i="45"/>
  <c r="Z33" i="45"/>
  <c r="Z32" i="45"/>
  <c r="Z31" i="45"/>
  <c r="Z30" i="45"/>
  <c r="Z29" i="45"/>
  <c r="Z28" i="45"/>
  <c r="Z27" i="45"/>
  <c r="Z26" i="45"/>
  <c r="Z25" i="45"/>
  <c r="Z24" i="45"/>
  <c r="Z23" i="45"/>
  <c r="Z22" i="45"/>
  <c r="Z21" i="45"/>
  <c r="Z20" i="45"/>
  <c r="Z19" i="45"/>
  <c r="Z18" i="45"/>
  <c r="Z17" i="45"/>
  <c r="Z16" i="45"/>
  <c r="Z15" i="45"/>
  <c r="Z14" i="45"/>
  <c r="Z13" i="45"/>
  <c r="Z12" i="45"/>
  <c r="Z11" i="45"/>
  <c r="Z10" i="45"/>
  <c r="Z9" i="45"/>
  <c r="Z8" i="45"/>
  <c r="Z7" i="45"/>
  <c r="Z6" i="45"/>
  <c r="Z5" i="45"/>
  <c r="W142" i="38"/>
  <c r="W141" i="38"/>
  <c r="W140" i="38"/>
  <c r="W139" i="38"/>
  <c r="W138" i="38"/>
  <c r="W127" i="38"/>
  <c r="W126" i="38"/>
  <c r="W124" i="38"/>
  <c r="W121" i="38"/>
  <c r="W120" i="38"/>
  <c r="W137" i="38"/>
  <c r="W136" i="38"/>
  <c r="W135" i="38"/>
  <c r="W134" i="38"/>
  <c r="W133" i="38"/>
  <c r="W123" i="38"/>
  <c r="E7" i="38"/>
  <c r="E86" i="38"/>
  <c r="U116" i="38"/>
  <c r="T116" i="38"/>
  <c r="G116" i="38"/>
  <c r="W115" i="38"/>
  <c r="W112" i="38"/>
  <c r="W111" i="38"/>
  <c r="W93" i="38"/>
  <c r="W92" i="38"/>
  <c r="W91" i="38"/>
  <c r="U100" i="38"/>
  <c r="U86" i="38"/>
  <c r="T100" i="38"/>
  <c r="T86" i="38"/>
  <c r="W122" i="38"/>
  <c r="W125" i="38"/>
  <c r="W80" i="38"/>
  <c r="G80" i="38"/>
  <c r="W79" i="38"/>
  <c r="G79" i="38"/>
  <c r="E84" i="45"/>
  <c r="D84" i="45"/>
  <c r="C84" i="45"/>
  <c r="W123" i="45"/>
  <c r="V123" i="45"/>
  <c r="U123" i="45"/>
  <c r="T123" i="45"/>
  <c r="S123" i="45"/>
  <c r="R123" i="45"/>
  <c r="Q123" i="45"/>
  <c r="P123" i="45"/>
  <c r="O123" i="45"/>
  <c r="N123" i="45"/>
  <c r="M123" i="45"/>
  <c r="K123" i="45"/>
  <c r="G123" i="45"/>
  <c r="W116" i="45"/>
  <c r="V116" i="45"/>
  <c r="U116" i="45"/>
  <c r="T116" i="45"/>
  <c r="S116" i="45"/>
  <c r="R116" i="45"/>
  <c r="Q116" i="45"/>
  <c r="P116" i="45"/>
  <c r="O116" i="45"/>
  <c r="N116" i="45"/>
  <c r="M116" i="45"/>
  <c r="K116" i="45"/>
  <c r="G116" i="45"/>
  <c r="W108" i="45"/>
  <c r="V108" i="45"/>
  <c r="U108" i="45"/>
  <c r="T108" i="45"/>
  <c r="S108" i="45"/>
  <c r="R108" i="45"/>
  <c r="Q108" i="45"/>
  <c r="P108" i="45"/>
  <c r="O108" i="45"/>
  <c r="N108" i="45"/>
  <c r="M108" i="45"/>
  <c r="K108" i="45"/>
  <c r="G108" i="45"/>
  <c r="E106" i="45"/>
  <c r="E105" i="45"/>
  <c r="E104" i="45"/>
  <c r="E103" i="45"/>
  <c r="E102" i="45"/>
  <c r="E101" i="45"/>
  <c r="W96" i="45"/>
  <c r="V96" i="45"/>
  <c r="U96" i="45"/>
  <c r="T96" i="45"/>
  <c r="S96" i="45"/>
  <c r="R96" i="45"/>
  <c r="Q96" i="45"/>
  <c r="P96" i="45"/>
  <c r="O96" i="45"/>
  <c r="N96" i="45"/>
  <c r="M96" i="45"/>
  <c r="K96" i="45"/>
  <c r="G96" i="45"/>
  <c r="W84" i="45"/>
  <c r="V84" i="45"/>
  <c r="U84" i="45"/>
  <c r="T84" i="45"/>
  <c r="S84" i="45"/>
  <c r="R84" i="45"/>
  <c r="Q84" i="45"/>
  <c r="P84" i="45"/>
  <c r="O84" i="45"/>
  <c r="N84" i="45"/>
  <c r="M84" i="45"/>
  <c r="K84" i="45"/>
  <c r="G83" i="45"/>
  <c r="G82" i="45"/>
  <c r="G81" i="45"/>
  <c r="G80" i="45"/>
  <c r="G79" i="45"/>
  <c r="G78" i="45"/>
  <c r="G77" i="45"/>
  <c r="G76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G5" i="45"/>
  <c r="G45" i="38"/>
  <c r="C86" i="38"/>
  <c r="W24" i="38"/>
  <c r="G24" i="38"/>
  <c r="W23" i="38"/>
  <c r="G23" i="38"/>
  <c r="W22" i="38"/>
  <c r="G22" i="38"/>
  <c r="W21" i="38"/>
  <c r="G21" i="38"/>
  <c r="W20" i="38"/>
  <c r="G20" i="38"/>
  <c r="W19" i="38"/>
  <c r="G19" i="38"/>
  <c r="W18" i="38"/>
  <c r="G18" i="38"/>
  <c r="W17" i="38"/>
  <c r="G17" i="38"/>
  <c r="W16" i="38"/>
  <c r="G16" i="38"/>
  <c r="W15" i="38"/>
  <c r="G15" i="38"/>
  <c r="W14" i="38"/>
  <c r="G14" i="38"/>
  <c r="W13" i="38"/>
  <c r="G13" i="38"/>
  <c r="W12" i="38"/>
  <c r="G12" i="38"/>
  <c r="W11" i="38"/>
  <c r="G11" i="38"/>
  <c r="W10" i="38"/>
  <c r="G10" i="38"/>
  <c r="W9" i="38"/>
  <c r="G9" i="38"/>
  <c r="W8" i="38"/>
  <c r="G8" i="38"/>
  <c r="W7" i="38"/>
  <c r="W6" i="38"/>
  <c r="G6" i="38"/>
  <c r="W5" i="38"/>
  <c r="G5" i="38"/>
  <c r="W42" i="38"/>
  <c r="G42" i="38"/>
  <c r="W41" i="38"/>
  <c r="G41" i="38"/>
  <c r="W40" i="38"/>
  <c r="G40" i="38"/>
  <c r="W39" i="38"/>
  <c r="G39" i="38"/>
  <c r="W38" i="38"/>
  <c r="G38" i="38"/>
  <c r="W37" i="38"/>
  <c r="G37" i="38"/>
  <c r="W36" i="38"/>
  <c r="G36" i="38"/>
  <c r="W35" i="38"/>
  <c r="G35" i="38"/>
  <c r="W34" i="38"/>
  <c r="G34" i="38"/>
  <c r="W33" i="38"/>
  <c r="G33" i="38"/>
  <c r="W32" i="38"/>
  <c r="G32" i="38"/>
  <c r="W31" i="38"/>
  <c r="G31" i="38"/>
  <c r="W30" i="38"/>
  <c r="G30" i="38"/>
  <c r="W29" i="38"/>
  <c r="G29" i="38"/>
  <c r="W28" i="38"/>
  <c r="G28" i="38"/>
  <c r="W27" i="38"/>
  <c r="G27" i="38"/>
  <c r="W26" i="38"/>
  <c r="G26" i="38"/>
  <c r="W25" i="38"/>
  <c r="G25" i="38"/>
  <c r="W62" i="38"/>
  <c r="G62" i="38"/>
  <c r="W61" i="38"/>
  <c r="G61" i="38"/>
  <c r="W60" i="38"/>
  <c r="G60" i="38"/>
  <c r="W59" i="38"/>
  <c r="G59" i="38"/>
  <c r="W58" i="38"/>
  <c r="G58" i="38"/>
  <c r="W57" i="38"/>
  <c r="G57" i="38"/>
  <c r="W56" i="38"/>
  <c r="G56" i="38"/>
  <c r="W55" i="38"/>
  <c r="G55" i="38"/>
  <c r="W54" i="38"/>
  <c r="G54" i="38"/>
  <c r="W53" i="38"/>
  <c r="G53" i="38"/>
  <c r="W52" i="38"/>
  <c r="G52" i="38"/>
  <c r="W51" i="38"/>
  <c r="G51" i="38"/>
  <c r="W50" i="38"/>
  <c r="G50" i="38"/>
  <c r="W49" i="38"/>
  <c r="G49" i="38"/>
  <c r="W48" i="38"/>
  <c r="G48" i="38"/>
  <c r="W47" i="38"/>
  <c r="G47" i="38"/>
  <c r="W46" i="38"/>
  <c r="G46" i="38"/>
  <c r="W45" i="38"/>
  <c r="W44" i="38"/>
  <c r="G44" i="38"/>
  <c r="W43" i="38"/>
  <c r="G43" i="38"/>
  <c r="W71" i="38"/>
  <c r="G71" i="38"/>
  <c r="W70" i="38"/>
  <c r="G70" i="38"/>
  <c r="W69" i="38"/>
  <c r="G69" i="38"/>
  <c r="W68" i="38"/>
  <c r="G68" i="38"/>
  <c r="W67" i="38"/>
  <c r="G67" i="38"/>
  <c r="W66" i="38"/>
  <c r="G66" i="38"/>
  <c r="W65" i="38"/>
  <c r="G65" i="38"/>
  <c r="W64" i="38"/>
  <c r="G64" i="38"/>
  <c r="W63" i="38"/>
  <c r="G63" i="38"/>
  <c r="F5" i="36"/>
  <c r="H5" i="36"/>
  <c r="H88" i="36"/>
  <c r="H81" i="36"/>
  <c r="H70" i="36"/>
  <c r="H52" i="36"/>
  <c r="H57" i="36"/>
  <c r="E44" i="36"/>
  <c r="C44" i="36"/>
  <c r="D44" i="36"/>
  <c r="G81" i="36"/>
  <c r="G57" i="36"/>
  <c r="U74" i="36"/>
  <c r="U75" i="36"/>
  <c r="U77" i="36"/>
  <c r="U79" i="36"/>
  <c r="U76" i="36"/>
  <c r="U78" i="36"/>
  <c r="U34" i="36"/>
  <c r="U35" i="36"/>
  <c r="U36" i="36"/>
  <c r="U37" i="36"/>
  <c r="U38" i="36"/>
  <c r="U39" i="36"/>
  <c r="U40" i="36"/>
  <c r="U41" i="36"/>
  <c r="U42" i="36"/>
  <c r="U43" i="36"/>
  <c r="U49" i="36"/>
  <c r="U53" i="36"/>
  <c r="U51" i="36"/>
  <c r="U52" i="36"/>
  <c r="U50" i="36"/>
  <c r="U61" i="36"/>
  <c r="U62" i="36"/>
  <c r="U63" i="36"/>
  <c r="U64" i="36"/>
  <c r="U65" i="36"/>
  <c r="U66" i="36"/>
  <c r="U67" i="36"/>
  <c r="U68" i="36"/>
  <c r="U69" i="36"/>
  <c r="U85" i="36"/>
  <c r="U86" i="36"/>
  <c r="U87" i="36"/>
  <c r="G34" i="36"/>
  <c r="G35" i="36"/>
  <c r="G36" i="36"/>
  <c r="G37" i="36"/>
  <c r="G38" i="36"/>
  <c r="G39" i="36"/>
  <c r="G40" i="36"/>
  <c r="G41" i="36"/>
  <c r="G42" i="36"/>
  <c r="G43" i="36"/>
  <c r="G70" i="36"/>
  <c r="G88" i="36"/>
  <c r="J57" i="36"/>
  <c r="K57" i="36"/>
  <c r="L57" i="36"/>
  <c r="M57" i="36"/>
  <c r="N57" i="36"/>
  <c r="O57" i="36"/>
  <c r="P57" i="36"/>
  <c r="Q57" i="36"/>
  <c r="R57" i="36"/>
  <c r="S57" i="36"/>
  <c r="T57" i="36"/>
  <c r="I57" i="36"/>
  <c r="J81" i="36"/>
  <c r="K81" i="36"/>
  <c r="L81" i="36"/>
  <c r="M81" i="36"/>
  <c r="N81" i="36"/>
  <c r="O81" i="36"/>
  <c r="P81" i="36"/>
  <c r="Q81" i="36"/>
  <c r="R81" i="36"/>
  <c r="S81" i="36"/>
  <c r="T81" i="36"/>
  <c r="I81" i="36"/>
  <c r="E31" i="37"/>
  <c r="F31" i="37"/>
  <c r="D31" i="37"/>
  <c r="C31" i="37"/>
  <c r="U10" i="37"/>
  <c r="G10" i="37"/>
  <c r="U9" i="37"/>
  <c r="G9" i="37"/>
  <c r="U8" i="37"/>
  <c r="G8" i="37"/>
  <c r="U7" i="37"/>
  <c r="G7" i="37"/>
  <c r="U6" i="37"/>
  <c r="G6" i="37"/>
  <c r="U5" i="37"/>
  <c r="G5" i="37"/>
  <c r="U20" i="37"/>
  <c r="G20" i="37"/>
  <c r="U19" i="37"/>
  <c r="G19" i="37"/>
  <c r="U18" i="37"/>
  <c r="G18" i="37"/>
  <c r="U17" i="37"/>
  <c r="G17" i="37"/>
  <c r="U16" i="37"/>
  <c r="G16" i="37"/>
  <c r="U15" i="37"/>
  <c r="G15" i="37"/>
  <c r="U14" i="37"/>
  <c r="G14" i="37"/>
  <c r="U13" i="37"/>
  <c r="G13" i="37"/>
  <c r="U12" i="37"/>
  <c r="G12" i="37"/>
  <c r="U11" i="37"/>
  <c r="G11" i="37"/>
  <c r="U24" i="36"/>
  <c r="H24" i="36"/>
  <c r="G24" i="36"/>
  <c r="U23" i="36"/>
  <c r="H23" i="36"/>
  <c r="G23" i="36"/>
  <c r="U22" i="36"/>
  <c r="H22" i="36"/>
  <c r="G22" i="36"/>
  <c r="U21" i="36"/>
  <c r="H21" i="36"/>
  <c r="G21" i="36"/>
  <c r="U20" i="36"/>
  <c r="H20" i="36"/>
  <c r="G20" i="36"/>
  <c r="U19" i="36"/>
  <c r="H19" i="36"/>
  <c r="G19" i="36"/>
  <c r="U18" i="36"/>
  <c r="H18" i="36"/>
  <c r="G18" i="36"/>
  <c r="U17" i="36"/>
  <c r="H17" i="36"/>
  <c r="G17" i="36"/>
  <c r="U16" i="36"/>
  <c r="H16" i="36"/>
  <c r="G16" i="36"/>
  <c r="U15" i="36"/>
  <c r="H15" i="36"/>
  <c r="G15" i="36"/>
  <c r="U14" i="36"/>
  <c r="H14" i="36"/>
  <c r="G14" i="36"/>
  <c r="U13" i="36"/>
  <c r="H13" i="36"/>
  <c r="G13" i="36"/>
  <c r="U12" i="36"/>
  <c r="H12" i="36"/>
  <c r="G12" i="36"/>
  <c r="U11" i="36"/>
  <c r="H11" i="36"/>
  <c r="G11" i="36"/>
  <c r="U10" i="36"/>
  <c r="H10" i="36"/>
  <c r="G10" i="36"/>
  <c r="U9" i="36"/>
  <c r="H9" i="36"/>
  <c r="G9" i="36"/>
  <c r="U8" i="36"/>
  <c r="H8" i="36"/>
  <c r="G8" i="36"/>
  <c r="U7" i="36"/>
  <c r="H7" i="36"/>
  <c r="G7" i="36"/>
  <c r="U6" i="36"/>
  <c r="H6" i="36"/>
  <c r="G6" i="36"/>
  <c r="U5" i="36"/>
  <c r="G5" i="36"/>
  <c r="U33" i="36"/>
  <c r="H33" i="36"/>
  <c r="G33" i="36"/>
  <c r="U32" i="36"/>
  <c r="H32" i="36"/>
  <c r="G32" i="36"/>
  <c r="U31" i="36"/>
  <c r="H31" i="36"/>
  <c r="G31" i="36"/>
  <c r="U30" i="36"/>
  <c r="H30" i="36"/>
  <c r="G30" i="36"/>
  <c r="U29" i="36"/>
  <c r="H29" i="36"/>
  <c r="G29" i="36"/>
  <c r="U28" i="36"/>
  <c r="H28" i="36"/>
  <c r="G28" i="36"/>
  <c r="U27" i="36"/>
  <c r="H27" i="36"/>
  <c r="G27" i="36"/>
  <c r="U26" i="36"/>
  <c r="H26" i="36"/>
  <c r="G26" i="36"/>
  <c r="U25" i="36"/>
  <c r="H25" i="36"/>
  <c r="G25" i="36"/>
  <c r="E25" i="35"/>
  <c r="F25" i="35"/>
  <c r="D25" i="35"/>
  <c r="C25" i="35"/>
  <c r="U14" i="35"/>
  <c r="H14" i="35"/>
  <c r="G14" i="35"/>
  <c r="U13" i="35"/>
  <c r="H13" i="35"/>
  <c r="G13" i="35"/>
  <c r="U12" i="35"/>
  <c r="H12" i="35"/>
  <c r="G12" i="35"/>
  <c r="U11" i="35"/>
  <c r="H11" i="35"/>
  <c r="G11" i="35"/>
  <c r="U10" i="35"/>
  <c r="H10" i="35"/>
  <c r="G10" i="35"/>
  <c r="U9" i="35"/>
  <c r="H9" i="35"/>
  <c r="G9" i="35"/>
  <c r="U8" i="35"/>
  <c r="H8" i="35"/>
  <c r="G8" i="35"/>
  <c r="U7" i="35"/>
  <c r="H7" i="35"/>
  <c r="G7" i="35"/>
  <c r="U6" i="35"/>
  <c r="H6" i="35"/>
  <c r="G6" i="35"/>
  <c r="U5" i="35"/>
  <c r="H5" i="35"/>
  <c r="G5" i="35"/>
  <c r="H19" i="34"/>
  <c r="H25" i="34"/>
  <c r="H57" i="34"/>
  <c r="F15" i="34"/>
  <c r="D15" i="34"/>
  <c r="E15" i="34"/>
  <c r="C15" i="34"/>
  <c r="H55" i="33"/>
  <c r="H46" i="33"/>
  <c r="G33" i="33"/>
  <c r="F23" i="33"/>
  <c r="E23" i="33"/>
  <c r="E24" i="33"/>
  <c r="H18" i="33"/>
  <c r="U53" i="33"/>
  <c r="U52" i="33"/>
  <c r="G55" i="33"/>
  <c r="H29" i="33"/>
  <c r="H33" i="33"/>
  <c r="D23" i="33"/>
  <c r="C23" i="33"/>
  <c r="C24" i="33"/>
  <c r="G11" i="33"/>
  <c r="G10" i="33"/>
  <c r="G7" i="33"/>
  <c r="G6" i="33"/>
  <c r="U13" i="33"/>
  <c r="H13" i="33"/>
  <c r="G13" i="33"/>
  <c r="U12" i="33"/>
  <c r="H12" i="33"/>
  <c r="G12" i="33"/>
  <c r="U11" i="33"/>
  <c r="H11" i="33"/>
  <c r="U10" i="33"/>
  <c r="H10" i="33"/>
  <c r="U9" i="33"/>
  <c r="H9" i="33"/>
  <c r="G9" i="33"/>
  <c r="U8" i="33"/>
  <c r="H8" i="33"/>
  <c r="G8" i="33"/>
  <c r="U7" i="33"/>
  <c r="H7" i="33"/>
  <c r="U6" i="33"/>
  <c r="H6" i="33"/>
  <c r="F9" i="32"/>
  <c r="U53" i="32"/>
  <c r="U28" i="33"/>
  <c r="E48" i="32"/>
  <c r="D48" i="32"/>
  <c r="C48" i="32"/>
  <c r="G33" i="32"/>
  <c r="G32" i="32"/>
  <c r="G23" i="32"/>
  <c r="G22" i="32"/>
  <c r="G35" i="32"/>
  <c r="G7" i="32"/>
  <c r="G28" i="32"/>
  <c r="G8" i="32"/>
  <c r="G16" i="32"/>
  <c r="G14" i="32"/>
  <c r="G12" i="32"/>
  <c r="G5" i="32"/>
  <c r="G9" i="32"/>
  <c r="U19" i="32"/>
  <c r="H19" i="32"/>
  <c r="G19" i="32"/>
  <c r="U35" i="32"/>
  <c r="H35" i="32"/>
  <c r="U6" i="32"/>
  <c r="H6" i="32"/>
  <c r="G6" i="32"/>
  <c r="U7" i="32"/>
  <c r="H7" i="32"/>
  <c r="U11" i="32"/>
  <c r="H11" i="32"/>
  <c r="G11" i="32"/>
  <c r="U28" i="32"/>
  <c r="H28" i="32"/>
  <c r="U36" i="32"/>
  <c r="H36" i="32"/>
  <c r="G36" i="32"/>
  <c r="U8" i="32"/>
  <c r="H8" i="32"/>
  <c r="U17" i="32"/>
  <c r="H17" i="32"/>
  <c r="G17" i="32"/>
  <c r="U16" i="32"/>
  <c r="H16" i="32"/>
  <c r="U15" i="32"/>
  <c r="H15" i="32"/>
  <c r="G15" i="32"/>
  <c r="U14" i="32"/>
  <c r="H14" i="32"/>
  <c r="U13" i="32"/>
  <c r="H13" i="32"/>
  <c r="G13" i="32"/>
  <c r="U12" i="32"/>
  <c r="H12" i="32"/>
  <c r="U18" i="32"/>
  <c r="H18" i="32"/>
  <c r="G18" i="32"/>
  <c r="U5" i="32"/>
  <c r="H5" i="32"/>
  <c r="U29" i="32"/>
  <c r="H29" i="32"/>
  <c r="G29" i="32"/>
  <c r="U10" i="32"/>
  <c r="H10" i="32"/>
  <c r="G10" i="32"/>
  <c r="U9" i="32"/>
  <c r="U31" i="32"/>
  <c r="H31" i="32"/>
  <c r="G31" i="32"/>
  <c r="U37" i="32"/>
  <c r="H37" i="32"/>
  <c r="G37" i="32"/>
  <c r="U34" i="32"/>
  <c r="H34" i="32"/>
  <c r="G34" i="32"/>
  <c r="U33" i="32"/>
  <c r="H33" i="32"/>
  <c r="U32" i="32"/>
  <c r="H32" i="32"/>
  <c r="U30" i="32"/>
  <c r="H30" i="32"/>
  <c r="G30" i="32"/>
  <c r="U24" i="32"/>
  <c r="H24" i="32"/>
  <c r="G24" i="32"/>
  <c r="U23" i="32"/>
  <c r="H23" i="32"/>
  <c r="U22" i="32"/>
  <c r="H22" i="32"/>
  <c r="U21" i="32"/>
  <c r="H21" i="32"/>
  <c r="G21" i="32"/>
  <c r="U20" i="32"/>
  <c r="H20" i="32"/>
  <c r="G20" i="32"/>
  <c r="F15" i="31"/>
  <c r="E15" i="31"/>
  <c r="C15" i="31"/>
  <c r="U32" i="31"/>
  <c r="D12" i="30"/>
  <c r="U7" i="30"/>
  <c r="U9" i="30"/>
  <c r="U10" i="30"/>
  <c r="U13" i="30"/>
  <c r="U14" i="30"/>
  <c r="U15" i="30"/>
  <c r="U19" i="30"/>
  <c r="U18" i="30"/>
  <c r="U12" i="30"/>
  <c r="U16" i="30"/>
  <c r="U17" i="30"/>
  <c r="U11" i="30"/>
  <c r="U6" i="30"/>
  <c r="U8" i="30"/>
  <c r="U5" i="30"/>
  <c r="H17" i="30"/>
  <c r="H16" i="30"/>
  <c r="H18" i="30"/>
  <c r="H15" i="30"/>
  <c r="G17" i="30"/>
  <c r="G16" i="30"/>
  <c r="G12" i="30"/>
  <c r="G18" i="30"/>
  <c r="G15" i="30"/>
  <c r="U52" i="29"/>
  <c r="U51" i="29"/>
  <c r="E25" i="29"/>
  <c r="C25" i="29"/>
  <c r="D25" i="29"/>
  <c r="F10" i="29"/>
  <c r="U46" i="29"/>
  <c r="U45" i="29"/>
  <c r="G37" i="29"/>
  <c r="M37" i="29"/>
  <c r="H37" i="29"/>
  <c r="U44" i="29"/>
  <c r="U14" i="29"/>
  <c r="H14" i="29"/>
  <c r="G14" i="29"/>
  <c r="U13" i="29"/>
  <c r="H13" i="29"/>
  <c r="G13" i="29"/>
  <c r="U12" i="29"/>
  <c r="H12" i="29"/>
  <c r="G12" i="29"/>
  <c r="U11" i="29"/>
  <c r="H11" i="29"/>
  <c r="G11" i="29"/>
  <c r="U10" i="29"/>
  <c r="G10" i="29"/>
  <c r="U9" i="29"/>
  <c r="H9" i="29"/>
  <c r="G9" i="29"/>
  <c r="U8" i="29"/>
  <c r="H8" i="29"/>
  <c r="G8" i="29"/>
  <c r="U7" i="29"/>
  <c r="H7" i="29"/>
  <c r="G7" i="29"/>
  <c r="U6" i="29"/>
  <c r="H6" i="29"/>
  <c r="G6" i="29"/>
  <c r="U5" i="29"/>
  <c r="H5" i="29"/>
  <c r="G5" i="29"/>
  <c r="E29" i="31"/>
  <c r="E30" i="29"/>
  <c r="E43" i="29"/>
  <c r="E42" i="29"/>
  <c r="E41" i="29"/>
  <c r="E31" i="28"/>
  <c r="E30" i="28"/>
  <c r="E29" i="28"/>
  <c r="U43" i="29"/>
  <c r="U42" i="29"/>
  <c r="U30" i="29"/>
  <c r="G6" i="28"/>
  <c r="U39" i="28"/>
  <c r="U38" i="28"/>
  <c r="S100" i="38"/>
  <c r="W128" i="38"/>
  <c r="V116" i="38"/>
  <c r="S116" i="38"/>
  <c r="R116" i="38"/>
  <c r="Q116" i="38"/>
  <c r="P116" i="38"/>
  <c r="O116" i="38"/>
  <c r="N116" i="38"/>
  <c r="M116" i="38"/>
  <c r="L116" i="38"/>
  <c r="K116" i="38"/>
  <c r="J116" i="38"/>
  <c r="I116" i="38"/>
  <c r="W114" i="38"/>
  <c r="W113" i="38"/>
  <c r="W110" i="38"/>
  <c r="W109" i="38"/>
  <c r="W108" i="38"/>
  <c r="W107" i="38"/>
  <c r="W105" i="38"/>
  <c r="W104" i="38"/>
  <c r="V100" i="38"/>
  <c r="R100" i="38"/>
  <c r="Q100" i="38"/>
  <c r="P100" i="38"/>
  <c r="O100" i="38"/>
  <c r="N100" i="38"/>
  <c r="M100" i="38"/>
  <c r="L100" i="38"/>
  <c r="K100" i="38"/>
  <c r="J100" i="38"/>
  <c r="I100" i="38"/>
  <c r="G100" i="38"/>
  <c r="W90" i="38"/>
  <c r="V86" i="38"/>
  <c r="S86" i="38"/>
  <c r="R86" i="38"/>
  <c r="Q86" i="38"/>
  <c r="P86" i="38"/>
  <c r="O86" i="38"/>
  <c r="N86" i="38"/>
  <c r="M86" i="38"/>
  <c r="L86" i="38"/>
  <c r="K86" i="38"/>
  <c r="J86" i="38"/>
  <c r="I86" i="38"/>
  <c r="W85" i="38"/>
  <c r="G85" i="38"/>
  <c r="W84" i="38"/>
  <c r="G84" i="38"/>
  <c r="W81" i="38"/>
  <c r="G81" i="38"/>
  <c r="W78" i="38"/>
  <c r="G78" i="38"/>
  <c r="W77" i="38"/>
  <c r="G77" i="38"/>
  <c r="W76" i="38"/>
  <c r="G76" i="38"/>
  <c r="W75" i="38"/>
  <c r="G75" i="38"/>
  <c r="W74" i="38"/>
  <c r="G74" i="38"/>
  <c r="W73" i="38"/>
  <c r="G73" i="38"/>
  <c r="W72" i="38"/>
  <c r="G72" i="38"/>
  <c r="T68" i="37"/>
  <c r="S68" i="37"/>
  <c r="R68" i="37"/>
  <c r="Q68" i="37"/>
  <c r="P68" i="37"/>
  <c r="O68" i="37"/>
  <c r="N68" i="37"/>
  <c r="M68" i="37"/>
  <c r="L68" i="37"/>
  <c r="K68" i="37"/>
  <c r="J68" i="37"/>
  <c r="I68" i="37"/>
  <c r="G68" i="37"/>
  <c r="U67" i="37"/>
  <c r="U66" i="37"/>
  <c r="U65" i="37"/>
  <c r="T61" i="37"/>
  <c r="S61" i="37"/>
  <c r="R61" i="37"/>
  <c r="Q61" i="37"/>
  <c r="P61" i="37"/>
  <c r="O61" i="37"/>
  <c r="N61" i="37"/>
  <c r="M61" i="37"/>
  <c r="L61" i="37"/>
  <c r="K61" i="37"/>
  <c r="J61" i="37"/>
  <c r="I61" i="37"/>
  <c r="G61" i="37"/>
  <c r="U60" i="37"/>
  <c r="U61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G54" i="37"/>
  <c r="U53" i="37"/>
  <c r="U52" i="37"/>
  <c r="U51" i="37"/>
  <c r="U50" i="37"/>
  <c r="U49" i="37"/>
  <c r="U48" i="37"/>
  <c r="U47" i="37"/>
  <c r="U46" i="37"/>
  <c r="U45" i="37"/>
  <c r="T41" i="37"/>
  <c r="S41" i="37"/>
  <c r="R41" i="37"/>
  <c r="R31" i="37"/>
  <c r="Q41" i="37"/>
  <c r="Q31" i="37"/>
  <c r="P41" i="37"/>
  <c r="O41" i="37"/>
  <c r="N41" i="37"/>
  <c r="M41" i="37"/>
  <c r="M31" i="37"/>
  <c r="L41" i="37"/>
  <c r="K41" i="37"/>
  <c r="K31" i="37"/>
  <c r="J41" i="37"/>
  <c r="J31" i="37"/>
  <c r="I41" i="37"/>
  <c r="I31" i="37"/>
  <c r="G41" i="37"/>
  <c r="G21" i="37"/>
  <c r="G22" i="37"/>
  <c r="G23" i="37"/>
  <c r="G24" i="37"/>
  <c r="G25" i="37"/>
  <c r="G26" i="37"/>
  <c r="G27" i="37"/>
  <c r="G28" i="37"/>
  <c r="G29" i="37"/>
  <c r="G30" i="37"/>
  <c r="U40" i="37"/>
  <c r="U39" i="37"/>
  <c r="U36" i="37"/>
  <c r="U35" i="37"/>
  <c r="U21" i="37"/>
  <c r="U22" i="37"/>
  <c r="U23" i="37"/>
  <c r="U24" i="37"/>
  <c r="U25" i="37"/>
  <c r="U26" i="37"/>
  <c r="U27" i="37"/>
  <c r="U28" i="37"/>
  <c r="U29" i="37"/>
  <c r="U30" i="37"/>
  <c r="T31" i="37"/>
  <c r="S31" i="37"/>
  <c r="P31" i="37"/>
  <c r="O31" i="37"/>
  <c r="N31" i="37"/>
  <c r="L31" i="37"/>
  <c r="T88" i="36"/>
  <c r="S88" i="36"/>
  <c r="R88" i="36"/>
  <c r="Q88" i="36"/>
  <c r="P88" i="36"/>
  <c r="O88" i="36"/>
  <c r="N88" i="36"/>
  <c r="M88" i="36"/>
  <c r="L88" i="36"/>
  <c r="K88" i="36"/>
  <c r="J88" i="36"/>
  <c r="I88" i="36"/>
  <c r="T70" i="36"/>
  <c r="S70" i="36"/>
  <c r="R70" i="36"/>
  <c r="Q70" i="36"/>
  <c r="P70" i="36"/>
  <c r="O70" i="36"/>
  <c r="N70" i="36"/>
  <c r="M70" i="36"/>
  <c r="L70" i="36"/>
  <c r="K70" i="36"/>
  <c r="J70" i="36"/>
  <c r="I70" i="36"/>
  <c r="T44" i="36"/>
  <c r="R44" i="36"/>
  <c r="Q44" i="36"/>
  <c r="O44" i="36"/>
  <c r="N44" i="36"/>
  <c r="M44" i="36"/>
  <c r="K44" i="36"/>
  <c r="J44" i="36"/>
  <c r="I44" i="36"/>
  <c r="S44" i="36"/>
  <c r="P44" i="36"/>
  <c r="L44" i="36"/>
  <c r="H43" i="36"/>
  <c r="H42" i="36"/>
  <c r="H41" i="36"/>
  <c r="H40" i="36"/>
  <c r="H39" i="36"/>
  <c r="H38" i="36"/>
  <c r="H37" i="36"/>
  <c r="H36" i="36"/>
  <c r="H35" i="36"/>
  <c r="H34" i="36"/>
  <c r="T62" i="35"/>
  <c r="S62" i="35"/>
  <c r="R62" i="35"/>
  <c r="Q62" i="35"/>
  <c r="Q25" i="35"/>
  <c r="Q35" i="35"/>
  <c r="Q48" i="35"/>
  <c r="Q55" i="35"/>
  <c r="P62" i="35"/>
  <c r="O62" i="35"/>
  <c r="N62" i="35"/>
  <c r="M62" i="35"/>
  <c r="L62" i="35"/>
  <c r="K62" i="35"/>
  <c r="J62" i="35"/>
  <c r="I62" i="35"/>
  <c r="H62" i="35"/>
  <c r="G62" i="35"/>
  <c r="U61" i="35"/>
  <c r="U60" i="35"/>
  <c r="U59" i="35"/>
  <c r="T55" i="35"/>
  <c r="S55" i="35"/>
  <c r="R55" i="35"/>
  <c r="P55" i="35"/>
  <c r="O55" i="35"/>
  <c r="N55" i="35"/>
  <c r="M55" i="35"/>
  <c r="L55" i="35"/>
  <c r="K55" i="35"/>
  <c r="J55" i="35"/>
  <c r="I55" i="35"/>
  <c r="H55" i="35"/>
  <c r="G55" i="35"/>
  <c r="U54" i="35"/>
  <c r="U53" i="35"/>
  <c r="U52" i="35"/>
  <c r="T48" i="35"/>
  <c r="S48" i="35"/>
  <c r="R48" i="35"/>
  <c r="P48" i="35"/>
  <c r="O48" i="35"/>
  <c r="N48" i="35"/>
  <c r="M48" i="35"/>
  <c r="L48" i="35"/>
  <c r="K48" i="35"/>
  <c r="J48" i="35"/>
  <c r="I48" i="35"/>
  <c r="H48" i="35"/>
  <c r="G48" i="35"/>
  <c r="U47" i="35"/>
  <c r="U46" i="35"/>
  <c r="U45" i="35"/>
  <c r="U44" i="35"/>
  <c r="U43" i="35"/>
  <c r="U42" i="35"/>
  <c r="U41" i="35"/>
  <c r="U40" i="35"/>
  <c r="U39" i="35"/>
  <c r="T35" i="35"/>
  <c r="S35" i="35"/>
  <c r="R35" i="35"/>
  <c r="P35" i="35"/>
  <c r="O35" i="35"/>
  <c r="N35" i="35"/>
  <c r="M35" i="35"/>
  <c r="M25" i="35"/>
  <c r="L35" i="35"/>
  <c r="K35" i="35"/>
  <c r="J35" i="35"/>
  <c r="I35" i="35"/>
  <c r="H35" i="35"/>
  <c r="G35" i="35"/>
  <c r="U34" i="35"/>
  <c r="U33" i="35"/>
  <c r="U32" i="35"/>
  <c r="U31" i="35"/>
  <c r="U30" i="35"/>
  <c r="U29" i="35"/>
  <c r="T25" i="35"/>
  <c r="S25" i="35"/>
  <c r="R25" i="35"/>
  <c r="P25" i="35"/>
  <c r="O25" i="35"/>
  <c r="N25" i="35"/>
  <c r="L25" i="35"/>
  <c r="K25" i="35"/>
  <c r="J25" i="35"/>
  <c r="I25" i="35"/>
  <c r="U24" i="35"/>
  <c r="H24" i="35"/>
  <c r="G24" i="35"/>
  <c r="U23" i="35"/>
  <c r="H23" i="35"/>
  <c r="G23" i="35"/>
  <c r="U22" i="35"/>
  <c r="H22" i="35"/>
  <c r="G22" i="35"/>
  <c r="U21" i="35"/>
  <c r="H21" i="35"/>
  <c r="G21" i="35"/>
  <c r="U20" i="35"/>
  <c r="H20" i="35"/>
  <c r="G20" i="35"/>
  <c r="U19" i="35"/>
  <c r="H19" i="35"/>
  <c r="G19" i="35"/>
  <c r="U18" i="35"/>
  <c r="H18" i="35"/>
  <c r="G18" i="35"/>
  <c r="U17" i="35"/>
  <c r="H17" i="35"/>
  <c r="G17" i="35"/>
  <c r="U16" i="35"/>
  <c r="H16" i="35"/>
  <c r="G16" i="35"/>
  <c r="U15" i="35"/>
  <c r="H15" i="35"/>
  <c r="G15" i="35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U51" i="34"/>
  <c r="U50" i="34"/>
  <c r="U49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U44" i="34"/>
  <c r="U43" i="34"/>
  <c r="U42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U37" i="34"/>
  <c r="U36" i="34"/>
  <c r="U35" i="34"/>
  <c r="U34" i="34"/>
  <c r="U33" i="34"/>
  <c r="U32" i="34"/>
  <c r="U31" i="34"/>
  <c r="U30" i="34"/>
  <c r="U29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G25" i="34"/>
  <c r="U24" i="34"/>
  <c r="U23" i="34"/>
  <c r="U22" i="34"/>
  <c r="U21" i="34"/>
  <c r="U20" i="34"/>
  <c r="U19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U14" i="34"/>
  <c r="H14" i="34"/>
  <c r="G14" i="34"/>
  <c r="U13" i="34"/>
  <c r="H13" i="34"/>
  <c r="G13" i="34"/>
  <c r="U12" i="34"/>
  <c r="H12" i="34"/>
  <c r="G12" i="34"/>
  <c r="U11" i="34"/>
  <c r="H11" i="34"/>
  <c r="G11" i="34"/>
  <c r="U10" i="34"/>
  <c r="H10" i="34"/>
  <c r="G10" i="34"/>
  <c r="U9" i="34"/>
  <c r="H9" i="34"/>
  <c r="G9" i="34"/>
  <c r="U8" i="34"/>
  <c r="H8" i="34"/>
  <c r="G8" i="34"/>
  <c r="U7" i="34"/>
  <c r="H7" i="34"/>
  <c r="G7" i="34"/>
  <c r="U6" i="34"/>
  <c r="H6" i="34"/>
  <c r="G6" i="34"/>
  <c r="G5" i="34"/>
  <c r="U5" i="34"/>
  <c r="H5" i="34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U61" i="33"/>
  <c r="U60" i="33"/>
  <c r="U59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U54" i="33"/>
  <c r="U51" i="33"/>
  <c r="U50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G46" i="33"/>
  <c r="U45" i="33"/>
  <c r="U44" i="33"/>
  <c r="U43" i="33"/>
  <c r="U42" i="33"/>
  <c r="U41" i="33"/>
  <c r="U40" i="33"/>
  <c r="U39" i="33"/>
  <c r="U38" i="33"/>
  <c r="U37" i="33"/>
  <c r="T33" i="33"/>
  <c r="S33" i="33"/>
  <c r="R33" i="33"/>
  <c r="Q33" i="33"/>
  <c r="P33" i="33"/>
  <c r="O33" i="33"/>
  <c r="N33" i="33"/>
  <c r="N23" i="33"/>
  <c r="M33" i="33"/>
  <c r="L33" i="33"/>
  <c r="K33" i="33"/>
  <c r="J33" i="33"/>
  <c r="I33" i="33"/>
  <c r="U32" i="33"/>
  <c r="U31" i="33"/>
  <c r="U30" i="33"/>
  <c r="U29" i="33"/>
  <c r="U27" i="33"/>
  <c r="T23" i="33"/>
  <c r="S23" i="33"/>
  <c r="R23" i="33"/>
  <c r="Q23" i="33"/>
  <c r="P23" i="33"/>
  <c r="O23" i="33"/>
  <c r="M23" i="33"/>
  <c r="L23" i="33"/>
  <c r="K23" i="33"/>
  <c r="J23" i="33"/>
  <c r="I23" i="33"/>
  <c r="U22" i="33"/>
  <c r="H22" i="33"/>
  <c r="G22" i="33"/>
  <c r="U21" i="33"/>
  <c r="H21" i="33"/>
  <c r="G21" i="33"/>
  <c r="U20" i="33"/>
  <c r="H20" i="33"/>
  <c r="G20" i="33"/>
  <c r="U19" i="33"/>
  <c r="H19" i="33"/>
  <c r="G19" i="33"/>
  <c r="U18" i="33"/>
  <c r="U17" i="33"/>
  <c r="H17" i="33"/>
  <c r="G17" i="33"/>
  <c r="U16" i="33"/>
  <c r="H16" i="33"/>
  <c r="G16" i="33"/>
  <c r="U15" i="33"/>
  <c r="H15" i="33"/>
  <c r="G15" i="33"/>
  <c r="U14" i="33"/>
  <c r="H14" i="33"/>
  <c r="G14" i="33"/>
  <c r="U5" i="33"/>
  <c r="H5" i="33"/>
  <c r="G5" i="33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U83" i="32"/>
  <c r="U82" i="32"/>
  <c r="U81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U75" i="32"/>
  <c r="U77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U70" i="32"/>
  <c r="U69" i="32"/>
  <c r="U68" i="32"/>
  <c r="U67" i="32"/>
  <c r="U66" i="32"/>
  <c r="U65" i="32"/>
  <c r="U64" i="32"/>
  <c r="U63" i="32"/>
  <c r="U62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U57" i="32"/>
  <c r="U56" i="32"/>
  <c r="U55" i="32"/>
  <c r="U52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U47" i="32"/>
  <c r="H47" i="32"/>
  <c r="G47" i="32"/>
  <c r="U46" i="32"/>
  <c r="H46" i="32"/>
  <c r="G46" i="32"/>
  <c r="U45" i="32"/>
  <c r="H45" i="32"/>
  <c r="G45" i="32"/>
  <c r="U44" i="32"/>
  <c r="H44" i="32"/>
  <c r="G44" i="32"/>
  <c r="U43" i="32"/>
  <c r="H43" i="32"/>
  <c r="G43" i="32"/>
  <c r="U42" i="32"/>
  <c r="H42" i="32"/>
  <c r="G42" i="32"/>
  <c r="U41" i="32"/>
  <c r="H41" i="32"/>
  <c r="G41" i="32"/>
  <c r="U40" i="32"/>
  <c r="H40" i="32"/>
  <c r="G40" i="32"/>
  <c r="U39" i="32"/>
  <c r="H39" i="32"/>
  <c r="G39" i="32"/>
  <c r="U38" i="32"/>
  <c r="H38" i="32"/>
  <c r="G38" i="32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U49" i="31"/>
  <c r="U48" i="31"/>
  <c r="U47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U42" i="31"/>
  <c r="U41" i="31"/>
  <c r="T36" i="31"/>
  <c r="S36" i="31"/>
  <c r="R36" i="31"/>
  <c r="Q36" i="31"/>
  <c r="P36" i="31"/>
  <c r="O36" i="31"/>
  <c r="N36" i="31"/>
  <c r="N15" i="31"/>
  <c r="N25" i="31"/>
  <c r="M36" i="31"/>
  <c r="M15" i="31"/>
  <c r="M25" i="31"/>
  <c r="L36" i="31"/>
  <c r="K36" i="31"/>
  <c r="J36" i="31"/>
  <c r="I36" i="31"/>
  <c r="H36" i="31"/>
  <c r="G36" i="31"/>
  <c r="U35" i="31"/>
  <c r="U34" i="31"/>
  <c r="U33" i="31"/>
  <c r="U31" i="31"/>
  <c r="U30" i="31"/>
  <c r="T25" i="31"/>
  <c r="S25" i="31"/>
  <c r="R25" i="31"/>
  <c r="Q25" i="31"/>
  <c r="Q15" i="31"/>
  <c r="P25" i="31"/>
  <c r="P15" i="31"/>
  <c r="O25" i="31"/>
  <c r="L25" i="31"/>
  <c r="K25" i="31"/>
  <c r="J25" i="31"/>
  <c r="I25" i="31"/>
  <c r="I15" i="31"/>
  <c r="H25" i="31"/>
  <c r="G25" i="31"/>
  <c r="U24" i="31"/>
  <c r="U23" i="31"/>
  <c r="U22" i="31"/>
  <c r="U21" i="31"/>
  <c r="U20" i="31"/>
  <c r="U19" i="31"/>
  <c r="T15" i="31"/>
  <c r="S15" i="31"/>
  <c r="R15" i="31"/>
  <c r="O15" i="31"/>
  <c r="L15" i="31"/>
  <c r="K15" i="31"/>
  <c r="J15" i="31"/>
  <c r="D15" i="31"/>
  <c r="U14" i="31"/>
  <c r="H14" i="31"/>
  <c r="G14" i="31"/>
  <c r="U13" i="31"/>
  <c r="H13" i="31"/>
  <c r="G13" i="31"/>
  <c r="U12" i="31"/>
  <c r="H12" i="31"/>
  <c r="G12" i="31"/>
  <c r="U11" i="31"/>
  <c r="H11" i="31"/>
  <c r="G11" i="31"/>
  <c r="U10" i="31"/>
  <c r="H10" i="31"/>
  <c r="G10" i="31"/>
  <c r="U9" i="31"/>
  <c r="H9" i="31"/>
  <c r="G9" i="31"/>
  <c r="U8" i="31"/>
  <c r="H8" i="31"/>
  <c r="G8" i="31"/>
  <c r="U7" i="31"/>
  <c r="H7" i="31"/>
  <c r="G7" i="31"/>
  <c r="U6" i="31"/>
  <c r="H6" i="31"/>
  <c r="G6" i="31"/>
  <c r="U5" i="31"/>
  <c r="H5" i="31"/>
  <c r="G5" i="31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U52" i="30"/>
  <c r="U51" i="30"/>
  <c r="U50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U45" i="30"/>
  <c r="U46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U40" i="30"/>
  <c r="U39" i="30"/>
  <c r="U38" i="30"/>
  <c r="U37" i="30"/>
  <c r="U36" i="30"/>
  <c r="U35" i="30"/>
  <c r="T30" i="30"/>
  <c r="T20" i="30"/>
  <c r="S30" i="30"/>
  <c r="R30" i="30"/>
  <c r="Q30" i="30"/>
  <c r="P30" i="30"/>
  <c r="P20" i="30"/>
  <c r="O30" i="30"/>
  <c r="N30" i="30"/>
  <c r="M30" i="30"/>
  <c r="L30" i="30"/>
  <c r="K30" i="30"/>
  <c r="J30" i="30"/>
  <c r="I30" i="30"/>
  <c r="H30" i="30"/>
  <c r="G30" i="30"/>
  <c r="U29" i="30"/>
  <c r="U28" i="30"/>
  <c r="U27" i="30"/>
  <c r="U26" i="30"/>
  <c r="U25" i="30"/>
  <c r="U24" i="30"/>
  <c r="S20" i="30"/>
  <c r="R20" i="30"/>
  <c r="Q20" i="30"/>
  <c r="O20" i="30"/>
  <c r="N20" i="30"/>
  <c r="M20" i="30"/>
  <c r="L20" i="30"/>
  <c r="K20" i="30"/>
  <c r="J20" i="30"/>
  <c r="I20" i="30"/>
  <c r="F20" i="30"/>
  <c r="E20" i="30"/>
  <c r="H8" i="30"/>
  <c r="H6" i="30"/>
  <c r="H11" i="30"/>
  <c r="H19" i="30"/>
  <c r="H14" i="30"/>
  <c r="H13" i="30"/>
  <c r="H10" i="30"/>
  <c r="H9" i="30"/>
  <c r="H7" i="30"/>
  <c r="H5" i="30"/>
  <c r="G5" i="30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U60" i="29"/>
  <c r="U59" i="29"/>
  <c r="U58" i="29"/>
  <c r="T54" i="29"/>
  <c r="S54" i="29"/>
  <c r="R54" i="29"/>
  <c r="R25" i="29"/>
  <c r="R37" i="29"/>
  <c r="R47" i="29"/>
  <c r="Q54" i="29"/>
  <c r="P54" i="29"/>
  <c r="O54" i="29"/>
  <c r="N54" i="29"/>
  <c r="M54" i="29"/>
  <c r="L54" i="29"/>
  <c r="K54" i="29"/>
  <c r="J54" i="29"/>
  <c r="I54" i="29"/>
  <c r="H54" i="29"/>
  <c r="G54" i="29"/>
  <c r="T47" i="29"/>
  <c r="S47" i="29"/>
  <c r="Q47" i="29"/>
  <c r="P47" i="29"/>
  <c r="O47" i="29"/>
  <c r="N47" i="29"/>
  <c r="M47" i="29"/>
  <c r="L47" i="29"/>
  <c r="K47" i="29"/>
  <c r="J47" i="29"/>
  <c r="I47" i="29"/>
  <c r="H47" i="29"/>
  <c r="G47" i="29"/>
  <c r="U41" i="29"/>
  <c r="T37" i="29"/>
  <c r="S37" i="29"/>
  <c r="Q37" i="29"/>
  <c r="P37" i="29"/>
  <c r="O37" i="29"/>
  <c r="N37" i="29"/>
  <c r="L37" i="29"/>
  <c r="K37" i="29"/>
  <c r="J37" i="29"/>
  <c r="I37" i="29"/>
  <c r="U34" i="29"/>
  <c r="U33" i="29"/>
  <c r="U32" i="29"/>
  <c r="U31" i="29"/>
  <c r="U29" i="29"/>
  <c r="T25" i="29"/>
  <c r="S25" i="29"/>
  <c r="Q25" i="29"/>
  <c r="P25" i="29"/>
  <c r="O25" i="29"/>
  <c r="N25" i="29"/>
  <c r="M25" i="29"/>
  <c r="L25" i="29"/>
  <c r="K25" i="29"/>
  <c r="J25" i="29"/>
  <c r="I25" i="29"/>
  <c r="U24" i="29"/>
  <c r="H24" i="29"/>
  <c r="G24" i="29"/>
  <c r="U23" i="29"/>
  <c r="H23" i="29"/>
  <c r="G23" i="29"/>
  <c r="U22" i="29"/>
  <c r="H22" i="29"/>
  <c r="G22" i="29"/>
  <c r="U21" i="29"/>
  <c r="H21" i="29"/>
  <c r="G21" i="29"/>
  <c r="U20" i="29"/>
  <c r="H20" i="29"/>
  <c r="G20" i="29"/>
  <c r="U19" i="29"/>
  <c r="H19" i="29"/>
  <c r="G19" i="29"/>
  <c r="U18" i="29"/>
  <c r="H18" i="29"/>
  <c r="G18" i="29"/>
  <c r="U17" i="29"/>
  <c r="H17" i="29"/>
  <c r="G17" i="29"/>
  <c r="U16" i="29"/>
  <c r="H16" i="29"/>
  <c r="G16" i="29"/>
  <c r="U15" i="29"/>
  <c r="H15" i="29"/>
  <c r="G15" i="29"/>
  <c r="U22" i="28"/>
  <c r="U21" i="28"/>
  <c r="U20" i="28"/>
  <c r="T48" i="28"/>
  <c r="S48" i="28"/>
  <c r="R48" i="28"/>
  <c r="Q48" i="28"/>
  <c r="P48" i="28"/>
  <c r="O48" i="28"/>
  <c r="N48" i="28"/>
  <c r="M48" i="28"/>
  <c r="L48" i="28"/>
  <c r="K48" i="28"/>
  <c r="K15" i="28"/>
  <c r="K24" i="28"/>
  <c r="K32" i="28"/>
  <c r="K41" i="28"/>
  <c r="J48" i="28"/>
  <c r="I48" i="28"/>
  <c r="G48" i="28"/>
  <c r="U47" i="28"/>
  <c r="U46" i="28"/>
  <c r="U45" i="28"/>
  <c r="T41" i="28"/>
  <c r="S41" i="28"/>
  <c r="R41" i="28"/>
  <c r="Q41" i="28"/>
  <c r="P41" i="28"/>
  <c r="O41" i="28"/>
  <c r="N41" i="28"/>
  <c r="M41" i="28"/>
  <c r="L41" i="28"/>
  <c r="J41" i="28"/>
  <c r="I41" i="28"/>
  <c r="G41" i="28"/>
  <c r="U40" i="28"/>
  <c r="U37" i="28"/>
  <c r="U36" i="28"/>
  <c r="T32" i="28"/>
  <c r="S32" i="28"/>
  <c r="R32" i="28"/>
  <c r="Q32" i="28"/>
  <c r="P32" i="28"/>
  <c r="O32" i="28"/>
  <c r="N32" i="28"/>
  <c r="M32" i="28"/>
  <c r="L32" i="28"/>
  <c r="J32" i="28"/>
  <c r="I32" i="28"/>
  <c r="G32" i="28"/>
  <c r="U31" i="28"/>
  <c r="U30" i="28"/>
  <c r="U29" i="28"/>
  <c r="U28" i="28"/>
  <c r="T24" i="28"/>
  <c r="S24" i="28"/>
  <c r="R24" i="28"/>
  <c r="Q24" i="28"/>
  <c r="P24" i="28"/>
  <c r="O24" i="28"/>
  <c r="N24" i="28"/>
  <c r="M24" i="28"/>
  <c r="L24" i="28"/>
  <c r="J24" i="28"/>
  <c r="I24" i="28"/>
  <c r="G24" i="28"/>
  <c r="U23" i="28"/>
  <c r="U19" i="28"/>
  <c r="T15" i="28"/>
  <c r="S15" i="28"/>
  <c r="R15" i="28"/>
  <c r="Q15" i="28"/>
  <c r="P15" i="28"/>
  <c r="O15" i="28"/>
  <c r="N15" i="28"/>
  <c r="M15" i="28"/>
  <c r="L15" i="28"/>
  <c r="J15" i="28"/>
  <c r="I15" i="28"/>
  <c r="F15" i="28"/>
  <c r="E15" i="28"/>
  <c r="C15" i="28"/>
  <c r="U14" i="28"/>
  <c r="G14" i="28"/>
  <c r="U13" i="28"/>
  <c r="G13" i="28"/>
  <c r="U12" i="28"/>
  <c r="G12" i="28"/>
  <c r="U11" i="28"/>
  <c r="G11" i="28"/>
  <c r="U7" i="28"/>
  <c r="G7" i="28"/>
  <c r="U6" i="28"/>
  <c r="U5" i="28"/>
  <c r="G5" i="28"/>
  <c r="U10" i="28"/>
  <c r="G10" i="28"/>
  <c r="U9" i="28"/>
  <c r="G9" i="28"/>
  <c r="U8" i="28"/>
  <c r="G8" i="28"/>
  <c r="X100" i="25"/>
  <c r="X99" i="25"/>
  <c r="X98" i="25"/>
  <c r="X93" i="25"/>
  <c r="X92" i="25"/>
  <c r="X91" i="25"/>
  <c r="X86" i="25"/>
  <c r="X85" i="25"/>
  <c r="X84" i="25"/>
  <c r="X83" i="25"/>
  <c r="X82" i="25"/>
  <c r="X81" i="25"/>
  <c r="X80" i="25"/>
  <c r="X79" i="25"/>
  <c r="X78" i="25"/>
  <c r="X73" i="25"/>
  <c r="X72" i="25"/>
  <c r="X67" i="25"/>
  <c r="X66" i="25"/>
  <c r="X65" i="25"/>
  <c r="X64" i="25"/>
  <c r="X63" i="25"/>
  <c r="X62" i="25"/>
  <c r="X61" i="25"/>
  <c r="X60" i="25"/>
  <c r="X59" i="25"/>
  <c r="X58" i="25"/>
  <c r="X57" i="25"/>
  <c r="X56" i="25"/>
  <c r="X55" i="25"/>
  <c r="X54" i="25"/>
  <c r="X53" i="25"/>
  <c r="X52" i="25"/>
  <c r="X51" i="25"/>
  <c r="X50" i="25"/>
  <c r="X49" i="25"/>
  <c r="X48" i="25"/>
  <c r="X47" i="25"/>
  <c r="X46" i="25"/>
  <c r="X45" i="25"/>
  <c r="X44" i="25"/>
  <c r="X43" i="25"/>
  <c r="X42" i="25"/>
  <c r="X41" i="25"/>
  <c r="X40" i="25"/>
  <c r="X39" i="25"/>
  <c r="X38" i="25"/>
  <c r="X37" i="25"/>
  <c r="X36" i="25"/>
  <c r="X35" i="25"/>
  <c r="X34" i="25"/>
  <c r="X33" i="25"/>
  <c r="X32" i="25"/>
  <c r="X31" i="25"/>
  <c r="X30" i="25"/>
  <c r="X29" i="25"/>
  <c r="X28" i="25"/>
  <c r="X27" i="25"/>
  <c r="X26" i="25"/>
  <c r="X25" i="25"/>
  <c r="X24" i="25"/>
  <c r="X23" i="25"/>
  <c r="X22" i="25"/>
  <c r="X21" i="25"/>
  <c r="X20" i="25"/>
  <c r="X19" i="25"/>
  <c r="X18" i="25"/>
  <c r="X17" i="25"/>
  <c r="X16" i="25"/>
  <c r="X15" i="25"/>
  <c r="X14" i="25"/>
  <c r="X13" i="25"/>
  <c r="X12" i="25"/>
  <c r="X11" i="25"/>
  <c r="X10" i="25"/>
  <c r="X9" i="25"/>
  <c r="X8" i="25"/>
  <c r="X7" i="25"/>
  <c r="X6" i="25"/>
  <c r="X5" i="25"/>
  <c r="W101" i="25"/>
  <c r="V101" i="25"/>
  <c r="U101" i="25"/>
  <c r="T101" i="25"/>
  <c r="S101" i="25"/>
  <c r="R101" i="25"/>
  <c r="Q101" i="25"/>
  <c r="P101" i="25"/>
  <c r="O101" i="25"/>
  <c r="N101" i="25"/>
  <c r="M101" i="25"/>
  <c r="K101" i="25"/>
  <c r="W94" i="25"/>
  <c r="V94" i="25"/>
  <c r="U94" i="25"/>
  <c r="T94" i="25"/>
  <c r="S94" i="25"/>
  <c r="R94" i="25"/>
  <c r="Q94" i="25"/>
  <c r="P94" i="25"/>
  <c r="O94" i="25"/>
  <c r="N94" i="25"/>
  <c r="M94" i="25"/>
  <c r="K94" i="25"/>
  <c r="W87" i="25"/>
  <c r="V87" i="25"/>
  <c r="U87" i="25"/>
  <c r="T87" i="25"/>
  <c r="S87" i="25"/>
  <c r="R87" i="25"/>
  <c r="Q87" i="25"/>
  <c r="P87" i="25"/>
  <c r="O87" i="25"/>
  <c r="N87" i="25"/>
  <c r="M87" i="25"/>
  <c r="K87" i="25"/>
  <c r="W74" i="25"/>
  <c r="V74" i="25"/>
  <c r="U74" i="25"/>
  <c r="T74" i="25"/>
  <c r="S74" i="25"/>
  <c r="R74" i="25"/>
  <c r="Q74" i="25"/>
  <c r="P74" i="25"/>
  <c r="O74" i="25"/>
  <c r="N74" i="25"/>
  <c r="M74" i="25"/>
  <c r="K74" i="25"/>
  <c r="W68" i="25"/>
  <c r="W103" i="25"/>
  <c r="V68" i="25"/>
  <c r="V103" i="25"/>
  <c r="U68" i="25"/>
  <c r="U103" i="25"/>
  <c r="T68" i="25"/>
  <c r="S68" i="25"/>
  <c r="S103" i="25"/>
  <c r="R68" i="25"/>
  <c r="Q68" i="25"/>
  <c r="P68" i="25"/>
  <c r="P103" i="25"/>
  <c r="O68" i="25"/>
  <c r="N68" i="25"/>
  <c r="N103" i="25"/>
  <c r="M68" i="25"/>
  <c r="K68" i="25"/>
  <c r="F57" i="25"/>
  <c r="H57" i="25"/>
  <c r="E79" i="25"/>
  <c r="H101" i="25"/>
  <c r="G101" i="25"/>
  <c r="H94" i="25"/>
  <c r="G94" i="25"/>
  <c r="G87" i="25"/>
  <c r="G74" i="25"/>
  <c r="H78" i="25"/>
  <c r="H87" i="25"/>
  <c r="E78" i="25"/>
  <c r="E85" i="25"/>
  <c r="E83" i="25"/>
  <c r="E80" i="25"/>
  <c r="E82" i="25"/>
  <c r="E84" i="25"/>
  <c r="E81" i="25"/>
  <c r="H73" i="25"/>
  <c r="H74" i="25"/>
  <c r="E73" i="25"/>
  <c r="E72" i="25"/>
  <c r="E68" i="25"/>
  <c r="D68" i="25"/>
  <c r="C68" i="25"/>
  <c r="H67" i="25"/>
  <c r="H66" i="25"/>
  <c r="H65" i="25"/>
  <c r="H64" i="25"/>
  <c r="H63" i="25"/>
  <c r="H62" i="25"/>
  <c r="H61" i="25"/>
  <c r="H60" i="25"/>
  <c r="H59" i="25"/>
  <c r="H58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F364" i="18"/>
  <c r="F360" i="18"/>
  <c r="F362" i="18"/>
  <c r="E358" i="18"/>
  <c r="E356" i="18"/>
  <c r="E355" i="18"/>
  <c r="E354" i="18"/>
  <c r="E353" i="18"/>
  <c r="E352" i="18"/>
  <c r="E351" i="18"/>
  <c r="E350" i="18"/>
  <c r="E349" i="18"/>
  <c r="E348" i="18"/>
  <c r="E347" i="18"/>
  <c r="F340" i="18"/>
  <c r="E334" i="18"/>
  <c r="E332" i="18"/>
  <c r="F336" i="18"/>
  <c r="F338" i="18"/>
  <c r="E331" i="18"/>
  <c r="E330" i="18"/>
  <c r="E329" i="18"/>
  <c r="E328" i="18"/>
  <c r="E327" i="18"/>
  <c r="E326" i="18"/>
  <c r="E325" i="18"/>
  <c r="E324" i="18"/>
  <c r="E323" i="18"/>
  <c r="E310" i="18"/>
  <c r="F308" i="18"/>
  <c r="E308" i="18"/>
  <c r="F307" i="18"/>
  <c r="E307" i="18"/>
  <c r="E306" i="18"/>
  <c r="E305" i="18"/>
  <c r="E303" i="18"/>
  <c r="E281" i="18"/>
  <c r="F273" i="18"/>
  <c r="F285" i="18"/>
  <c r="F287" i="18"/>
  <c r="E280" i="18"/>
  <c r="E279" i="18"/>
  <c r="E278" i="18"/>
  <c r="E277" i="18"/>
  <c r="E276" i="18"/>
  <c r="E304" i="18"/>
  <c r="I275" i="18"/>
  <c r="E275" i="18"/>
  <c r="E274" i="18"/>
  <c r="E302" i="18"/>
  <c r="E273" i="18"/>
  <c r="E272" i="18"/>
  <c r="E271" i="18"/>
  <c r="E270" i="18"/>
  <c r="E301" i="18"/>
  <c r="E269" i="18"/>
  <c r="H98" i="19"/>
  <c r="E268" i="18"/>
  <c r="E267" i="18"/>
  <c r="E266" i="18"/>
  <c r="E265" i="18"/>
  <c r="E264" i="18"/>
  <c r="E300" i="18"/>
  <c r="E247" i="18"/>
  <c r="E246" i="18"/>
  <c r="E245" i="18"/>
  <c r="E244" i="18"/>
  <c r="E243" i="18"/>
  <c r="E242" i="18"/>
  <c r="H63" i="19"/>
  <c r="H70" i="19"/>
  <c r="H45" i="19"/>
  <c r="H47" i="19"/>
  <c r="H34" i="19"/>
  <c r="H36" i="19"/>
  <c r="H29" i="19"/>
  <c r="H22" i="19"/>
  <c r="H21" i="19"/>
  <c r="H20" i="19"/>
  <c r="H19" i="19"/>
  <c r="H18" i="19"/>
  <c r="H17" i="19"/>
  <c r="H16" i="19"/>
  <c r="H10" i="19"/>
  <c r="H11" i="19"/>
  <c r="H7" i="19"/>
  <c r="H6" i="19"/>
  <c r="F316" i="18"/>
  <c r="E299" i="18"/>
  <c r="E263" i="18"/>
  <c r="E262" i="18"/>
  <c r="F251" i="18"/>
  <c r="F253" i="18"/>
  <c r="E241" i="18"/>
  <c r="E238" i="18"/>
  <c r="F230" i="18"/>
  <c r="F232" i="18"/>
  <c r="E226" i="18"/>
  <c r="E225" i="18"/>
  <c r="E224" i="18"/>
  <c r="E223" i="18"/>
  <c r="E222" i="18"/>
  <c r="F211" i="18"/>
  <c r="F213" i="18"/>
  <c r="E208" i="18"/>
  <c r="E207" i="18"/>
  <c r="E206" i="18"/>
  <c r="E205" i="18"/>
  <c r="E204" i="18"/>
  <c r="E203" i="18"/>
  <c r="E202" i="18"/>
  <c r="E201" i="18"/>
  <c r="E200" i="18"/>
  <c r="E199" i="18"/>
  <c r="F188" i="18"/>
  <c r="F190" i="18"/>
  <c r="E183" i="18"/>
  <c r="E182" i="18"/>
  <c r="E181" i="18"/>
  <c r="E180" i="18"/>
  <c r="E179" i="18"/>
  <c r="F168" i="18"/>
  <c r="F170" i="18"/>
  <c r="E166" i="18"/>
  <c r="E165" i="18"/>
  <c r="E164" i="18"/>
  <c r="E163" i="18"/>
  <c r="E162" i="18"/>
  <c r="E161" i="18"/>
  <c r="E160" i="18"/>
  <c r="E159" i="18"/>
  <c r="E158" i="18"/>
  <c r="E157" i="18"/>
  <c r="F146" i="18"/>
  <c r="F148" i="18"/>
  <c r="E144" i="18"/>
  <c r="E143" i="18"/>
  <c r="E142" i="18"/>
  <c r="E141" i="18"/>
  <c r="E140" i="18"/>
  <c r="E139" i="18"/>
  <c r="E138" i="18"/>
  <c r="F127" i="18"/>
  <c r="F129" i="18"/>
  <c r="E125" i="18"/>
  <c r="E124" i="18"/>
  <c r="E123" i="18"/>
  <c r="E122" i="18"/>
  <c r="F111" i="18"/>
  <c r="F113" i="18"/>
  <c r="E109" i="18"/>
  <c r="E108" i="18"/>
  <c r="E107" i="18"/>
  <c r="E106" i="18"/>
  <c r="F95" i="18"/>
  <c r="F97" i="18"/>
  <c r="E93" i="18"/>
  <c r="E92" i="18"/>
  <c r="E91" i="18"/>
  <c r="E90" i="18"/>
  <c r="E89" i="18"/>
  <c r="E88" i="18"/>
  <c r="F81" i="18"/>
  <c r="F99" i="18"/>
  <c r="F115" i="18"/>
  <c r="F131" i="18"/>
  <c r="F150" i="18"/>
  <c r="F172" i="18"/>
  <c r="F192" i="18"/>
  <c r="F215" i="18"/>
  <c r="F234" i="18"/>
  <c r="F255" i="18"/>
  <c r="F289" i="18"/>
  <c r="F77" i="18"/>
  <c r="F79" i="18"/>
  <c r="E74" i="18"/>
  <c r="E73" i="18"/>
  <c r="E71" i="18"/>
  <c r="E70" i="18"/>
  <c r="E65" i="18"/>
  <c r="E69" i="18"/>
  <c r="E68" i="18"/>
  <c r="E67" i="18"/>
  <c r="D66" i="18"/>
  <c r="E62" i="18"/>
  <c r="E61" i="18"/>
  <c r="F57" i="18"/>
  <c r="F80" i="18"/>
  <c r="D54" i="18"/>
  <c r="D53" i="18"/>
  <c r="D52" i="18"/>
  <c r="D51" i="18"/>
  <c r="D50" i="18"/>
  <c r="D49" i="18"/>
  <c r="D48" i="18"/>
  <c r="D47" i="18"/>
  <c r="D46" i="18"/>
  <c r="D45" i="18"/>
  <c r="D44" i="18"/>
  <c r="F38" i="18"/>
  <c r="F16" i="18"/>
  <c r="F21" i="18"/>
  <c r="F9" i="18"/>
  <c r="D7" i="18"/>
  <c r="D6" i="18"/>
  <c r="D5" i="18"/>
  <c r="D4" i="18"/>
  <c r="D3" i="18"/>
  <c r="G6" i="30"/>
  <c r="G11" i="30"/>
  <c r="C20" i="30"/>
  <c r="G7" i="30"/>
  <c r="G19" i="30"/>
  <c r="G13" i="30"/>
  <c r="G9" i="30"/>
  <c r="G8" i="30"/>
  <c r="G14" i="30"/>
  <c r="G10" i="30"/>
  <c r="J66" i="45"/>
  <c r="H20" i="51"/>
  <c r="H21" i="51"/>
  <c r="J17" i="54"/>
  <c r="L130" i="67"/>
  <c r="Z84" i="64"/>
  <c r="S129" i="66"/>
  <c r="O127" i="52"/>
  <c r="N129" i="69"/>
  <c r="N117" i="55"/>
  <c r="R131" i="61"/>
  <c r="T129" i="66"/>
  <c r="N134" i="63"/>
  <c r="W124" i="51"/>
  <c r="N127" i="50"/>
  <c r="V127" i="50"/>
  <c r="Z84" i="53"/>
  <c r="N124" i="53"/>
  <c r="M131" i="60"/>
  <c r="J62" i="45"/>
  <c r="G84" i="52"/>
  <c r="G124" i="52"/>
  <c r="Q129" i="69"/>
  <c r="O124" i="51"/>
  <c r="R127" i="50"/>
  <c r="P124" i="52"/>
  <c r="R124" i="53"/>
  <c r="K122" i="56"/>
  <c r="J130" i="62"/>
  <c r="Z128" i="62"/>
  <c r="L130" i="65"/>
  <c r="T90" i="36"/>
  <c r="U127" i="50"/>
  <c r="L127" i="52"/>
  <c r="P125" i="46"/>
  <c r="K127" i="49"/>
  <c r="O127" i="49"/>
  <c r="F59" i="18"/>
  <c r="K131" i="60"/>
  <c r="I129" i="66"/>
  <c r="H63" i="45"/>
  <c r="H69" i="45"/>
  <c r="I88" i="56"/>
  <c r="I122" i="56"/>
  <c r="Z115" i="49"/>
  <c r="Z84" i="62"/>
  <c r="Z121" i="67"/>
  <c r="F84" i="47"/>
  <c r="D15" i="28"/>
  <c r="K64" i="35"/>
  <c r="S64" i="35"/>
  <c r="L90" i="36"/>
  <c r="J90" i="36"/>
  <c r="I90" i="36"/>
  <c r="Q90" i="36"/>
  <c r="S70" i="37"/>
  <c r="I70" i="37"/>
  <c r="Q70" i="37"/>
  <c r="V145" i="38"/>
  <c r="O145" i="38"/>
  <c r="U47" i="29"/>
  <c r="N125" i="45"/>
  <c r="R125" i="45"/>
  <c r="V125" i="45"/>
  <c r="U128" i="46"/>
  <c r="S131" i="61"/>
  <c r="Q130" i="62"/>
  <c r="T135" i="70"/>
  <c r="J98" i="63"/>
  <c r="J134" i="63"/>
  <c r="H116" i="46"/>
  <c r="F44" i="36"/>
  <c r="J101" i="64"/>
  <c r="J107" i="64"/>
  <c r="J129" i="64"/>
  <c r="X68" i="25"/>
  <c r="R63" i="29"/>
  <c r="R90" i="36"/>
  <c r="J70" i="37"/>
  <c r="M70" i="37"/>
  <c r="P125" i="45"/>
  <c r="T125" i="45"/>
  <c r="Z96" i="45"/>
  <c r="Z123" i="45"/>
  <c r="U125" i="46"/>
  <c r="N125" i="46"/>
  <c r="R129" i="46"/>
  <c r="G84" i="51"/>
  <c r="G124" i="51"/>
  <c r="Z80" i="54"/>
  <c r="Y131" i="61"/>
  <c r="P130" i="62"/>
  <c r="X130" i="62"/>
  <c r="G83" i="63"/>
  <c r="G134" i="63"/>
  <c r="I130" i="65"/>
  <c r="L129" i="66"/>
  <c r="I127" i="68"/>
  <c r="P129" i="69"/>
  <c r="J105" i="68"/>
  <c r="H95" i="64"/>
  <c r="W129" i="59"/>
  <c r="Q122" i="56"/>
  <c r="H84" i="49"/>
  <c r="H132" i="49"/>
  <c r="H84" i="46"/>
  <c r="Z94" i="68"/>
  <c r="W127" i="68"/>
  <c r="G7" i="38"/>
  <c r="G86" i="38"/>
  <c r="G145" i="38"/>
  <c r="R127" i="47"/>
  <c r="M127" i="50"/>
  <c r="Y127" i="52"/>
  <c r="P128" i="52"/>
  <c r="L129" i="59"/>
  <c r="P129" i="59"/>
  <c r="R129" i="59"/>
  <c r="Z88" i="56"/>
  <c r="U122" i="56"/>
  <c r="U131" i="60"/>
  <c r="J131" i="61"/>
  <c r="K131" i="61"/>
  <c r="R130" i="62"/>
  <c r="Z121" i="62"/>
  <c r="K130" i="62"/>
  <c r="W130" i="62"/>
  <c r="N129" i="64"/>
  <c r="T130" i="65"/>
  <c r="Z121" i="65"/>
  <c r="S130" i="65"/>
  <c r="J129" i="66"/>
  <c r="N129" i="66"/>
  <c r="V129" i="66"/>
  <c r="I130" i="67"/>
  <c r="K129" i="69"/>
  <c r="O129" i="69"/>
  <c r="Z95" i="69"/>
  <c r="Z107" i="69"/>
  <c r="J129" i="69"/>
  <c r="L129" i="69"/>
  <c r="T129" i="69"/>
  <c r="Z112" i="70"/>
  <c r="H105" i="68"/>
  <c r="H67" i="45"/>
  <c r="K90" i="36"/>
  <c r="N128" i="46"/>
  <c r="M124" i="53"/>
  <c r="Q124" i="53"/>
  <c r="H61" i="45"/>
  <c r="J20" i="65"/>
  <c r="H121" i="65"/>
  <c r="K128" i="46"/>
  <c r="K129" i="46"/>
  <c r="L127" i="50"/>
  <c r="P127" i="50"/>
  <c r="T127" i="50"/>
  <c r="X127" i="50"/>
  <c r="T124" i="51"/>
  <c r="N124" i="51"/>
  <c r="R124" i="51"/>
  <c r="V124" i="51"/>
  <c r="Z122" i="53"/>
  <c r="P122" i="56"/>
  <c r="Y124" i="51"/>
  <c r="Y130" i="62"/>
  <c r="Z120" i="64"/>
  <c r="N130" i="65"/>
  <c r="R130" i="65"/>
  <c r="K130" i="65"/>
  <c r="Z128" i="65"/>
  <c r="T130" i="67"/>
  <c r="U129" i="69"/>
  <c r="J118" i="68"/>
  <c r="H118" i="68"/>
  <c r="T63" i="29"/>
  <c r="I52" i="31"/>
  <c r="J64" i="45"/>
  <c r="Z84" i="47"/>
  <c r="U124" i="47"/>
  <c r="L127" i="47"/>
  <c r="K124" i="51"/>
  <c r="G84" i="59"/>
  <c r="G129" i="59"/>
  <c r="N129" i="59"/>
  <c r="Z101" i="55"/>
  <c r="R122" i="56"/>
  <c r="V122" i="56"/>
  <c r="Z100" i="56"/>
  <c r="M129" i="59"/>
  <c r="X131" i="60"/>
  <c r="O131" i="61"/>
  <c r="S130" i="62"/>
  <c r="R129" i="64"/>
  <c r="V129" i="64"/>
  <c r="Z108" i="65"/>
  <c r="Z95" i="61"/>
  <c r="H84" i="53"/>
  <c r="H15" i="28"/>
  <c r="J12" i="54"/>
  <c r="W129" i="38"/>
  <c r="O130" i="67"/>
  <c r="S130" i="67"/>
  <c r="H83" i="67"/>
  <c r="H130" i="67"/>
  <c r="H132" i="67"/>
  <c r="H92" i="54"/>
  <c r="H84" i="52"/>
  <c r="H84" i="50"/>
  <c r="Z127" i="66"/>
  <c r="T127" i="68"/>
  <c r="Q127" i="68"/>
  <c r="J15" i="68"/>
  <c r="F84" i="45"/>
  <c r="J16" i="54"/>
  <c r="R64" i="33"/>
  <c r="U62" i="33"/>
  <c r="U15" i="34"/>
  <c r="U38" i="34"/>
  <c r="U52" i="34"/>
  <c r="U25" i="35"/>
  <c r="L64" i="35"/>
  <c r="R64" i="35"/>
  <c r="U35" i="35"/>
  <c r="J64" i="35"/>
  <c r="M64" i="35"/>
  <c r="Q64" i="35"/>
  <c r="O90" i="36"/>
  <c r="M90" i="36"/>
  <c r="L70" i="37"/>
  <c r="U31" i="37"/>
  <c r="U41" i="37"/>
  <c r="R70" i="37"/>
  <c r="P70" i="37"/>
  <c r="L145" i="38"/>
  <c r="P145" i="38"/>
  <c r="J145" i="38"/>
  <c r="U88" i="36"/>
  <c r="U70" i="36"/>
  <c r="G84" i="45"/>
  <c r="G125" i="45"/>
  <c r="K125" i="46"/>
  <c r="L128" i="46"/>
  <c r="Q125" i="46"/>
  <c r="L129" i="46"/>
  <c r="T129" i="46"/>
  <c r="L127" i="49"/>
  <c r="S127" i="50"/>
  <c r="W127" i="50"/>
  <c r="Z125" i="49"/>
  <c r="Z122" i="51"/>
  <c r="I117" i="55"/>
  <c r="N128" i="52"/>
  <c r="S120" i="54"/>
  <c r="Z89" i="55"/>
  <c r="P117" i="55"/>
  <c r="V131" i="61"/>
  <c r="G84" i="64"/>
  <c r="G129" i="64"/>
  <c r="K129" i="64"/>
  <c r="O129" i="64"/>
  <c r="W129" i="64"/>
  <c r="Z83" i="65"/>
  <c r="O130" i="65"/>
  <c r="G83" i="66"/>
  <c r="G129" i="66"/>
  <c r="G83" i="69"/>
  <c r="G129" i="69"/>
  <c r="U129" i="66"/>
  <c r="Z120" i="69"/>
  <c r="H83" i="66"/>
  <c r="H129" i="66"/>
  <c r="H131" i="66"/>
  <c r="H84" i="64"/>
  <c r="H98" i="63"/>
  <c r="H109" i="60"/>
  <c r="H120" i="59"/>
  <c r="Z128" i="67"/>
  <c r="S127" i="68"/>
  <c r="M127" i="68"/>
  <c r="Q129" i="66"/>
  <c r="G83" i="67"/>
  <c r="G130" i="67"/>
  <c r="E85" i="18"/>
  <c r="X74" i="25"/>
  <c r="S50" i="28"/>
  <c r="U25" i="29"/>
  <c r="I63" i="29"/>
  <c r="M63" i="29"/>
  <c r="U37" i="29"/>
  <c r="K63" i="29"/>
  <c r="O63" i="29"/>
  <c r="R55" i="30"/>
  <c r="U53" i="30"/>
  <c r="U15" i="31"/>
  <c r="T52" i="31"/>
  <c r="P52" i="31"/>
  <c r="I86" i="32"/>
  <c r="M86" i="32"/>
  <c r="K86" i="32"/>
  <c r="N64" i="35"/>
  <c r="P64" i="35"/>
  <c r="P90" i="36"/>
  <c r="N90" i="36"/>
  <c r="G44" i="36"/>
  <c r="G90" i="36"/>
  <c r="I103" i="25"/>
  <c r="Z127" i="47"/>
  <c r="T128" i="46"/>
  <c r="M129" i="46"/>
  <c r="P127" i="52"/>
  <c r="J127" i="59"/>
  <c r="O135" i="70"/>
  <c r="U44" i="36"/>
  <c r="L124" i="47"/>
  <c r="Q127" i="47"/>
  <c r="J125" i="46"/>
  <c r="Z116" i="46"/>
  <c r="Z96" i="49"/>
  <c r="Y127" i="49"/>
  <c r="H108" i="53"/>
  <c r="J100" i="53"/>
  <c r="J108" i="53"/>
  <c r="J124" i="53"/>
  <c r="H25" i="47"/>
  <c r="H84" i="47"/>
  <c r="D84" i="47"/>
  <c r="D86" i="38"/>
  <c r="H70" i="38"/>
  <c r="Z95" i="66"/>
  <c r="F84" i="64"/>
  <c r="F68" i="25"/>
  <c r="Z96" i="62"/>
  <c r="H84" i="60"/>
  <c r="F80" i="54"/>
  <c r="J65" i="45"/>
  <c r="J68" i="45"/>
  <c r="O55" i="30"/>
  <c r="U30" i="30"/>
  <c r="I55" i="30"/>
  <c r="Q52" i="31"/>
  <c r="U43" i="31"/>
  <c r="R86" i="32"/>
  <c r="U45" i="34"/>
  <c r="U55" i="35"/>
  <c r="U62" i="35"/>
  <c r="O70" i="37"/>
  <c r="U54" i="29"/>
  <c r="R128" i="46"/>
  <c r="O128" i="46"/>
  <c r="S128" i="46"/>
  <c r="W128" i="46"/>
  <c r="I127" i="49"/>
  <c r="Z108" i="47"/>
  <c r="X127" i="49"/>
  <c r="L124" i="51"/>
  <c r="O127" i="50"/>
  <c r="Z108" i="50"/>
  <c r="Z115" i="50"/>
  <c r="Z125" i="50"/>
  <c r="Z96" i="53"/>
  <c r="Z92" i="54"/>
  <c r="O122" i="54"/>
  <c r="O124" i="54"/>
  <c r="U120" i="54"/>
  <c r="O117" i="55"/>
  <c r="S117" i="55"/>
  <c r="Z115" i="55"/>
  <c r="T122" i="56"/>
  <c r="Z108" i="51"/>
  <c r="Z96" i="51"/>
  <c r="S129" i="59"/>
  <c r="R131" i="60"/>
  <c r="P131" i="61"/>
  <c r="T131" i="61"/>
  <c r="X131" i="61"/>
  <c r="L134" i="61"/>
  <c r="L130" i="62"/>
  <c r="Z127" i="64"/>
  <c r="M130" i="65"/>
  <c r="W130" i="65"/>
  <c r="M129" i="66"/>
  <c r="Z120" i="61"/>
  <c r="Q129" i="59"/>
  <c r="U129" i="59"/>
  <c r="Z107" i="56"/>
  <c r="Z120" i="56"/>
  <c r="S122" i="56"/>
  <c r="J15" i="54"/>
  <c r="H15" i="54"/>
  <c r="F40" i="18"/>
  <c r="F312" i="18"/>
  <c r="F315" i="18"/>
  <c r="F317" i="18"/>
  <c r="F339" i="18"/>
  <c r="F341" i="18"/>
  <c r="F363" i="18"/>
  <c r="F365" i="18"/>
  <c r="O129" i="46"/>
  <c r="S129" i="46"/>
  <c r="W129" i="46"/>
  <c r="N128" i="47"/>
  <c r="R124" i="47"/>
  <c r="Z96" i="47"/>
  <c r="P128" i="47"/>
  <c r="O127" i="47"/>
  <c r="V127" i="47"/>
  <c r="R125" i="46"/>
  <c r="V129" i="46"/>
  <c r="S127" i="49"/>
  <c r="Q127" i="50"/>
  <c r="Y127" i="50"/>
  <c r="J125" i="49"/>
  <c r="Z84" i="51"/>
  <c r="I127" i="50"/>
  <c r="N124" i="52"/>
  <c r="Z122" i="52"/>
  <c r="V124" i="53"/>
  <c r="M120" i="54"/>
  <c r="L117" i="55"/>
  <c r="W127" i="52"/>
  <c r="G84" i="61"/>
  <c r="G131" i="61"/>
  <c r="W131" i="61"/>
  <c r="I131" i="61"/>
  <c r="M131" i="61"/>
  <c r="Q131" i="61"/>
  <c r="I130" i="62"/>
  <c r="U130" i="62"/>
  <c r="Z108" i="62"/>
  <c r="N130" i="62"/>
  <c r="V130" i="62"/>
  <c r="I134" i="63"/>
  <c r="P129" i="64"/>
  <c r="U129" i="64"/>
  <c r="V129" i="69"/>
  <c r="M129" i="69"/>
  <c r="F82" i="18"/>
  <c r="F98" i="18"/>
  <c r="F114" i="18"/>
  <c r="F116" i="18"/>
  <c r="S125" i="46"/>
  <c r="K128" i="47"/>
  <c r="S128" i="47"/>
  <c r="Z96" i="65"/>
  <c r="Q128" i="46"/>
  <c r="L125" i="46"/>
  <c r="Y124" i="47"/>
  <c r="Z108" i="49"/>
  <c r="T124" i="53"/>
  <c r="L133" i="61"/>
  <c r="J14" i="65"/>
  <c r="Q103" i="25"/>
  <c r="U41" i="30"/>
  <c r="L55" i="30"/>
  <c r="P55" i="30"/>
  <c r="H44" i="36"/>
  <c r="H90" i="36"/>
  <c r="H92" i="36"/>
  <c r="M125" i="45"/>
  <c r="Q125" i="45"/>
  <c r="U125" i="45"/>
  <c r="S125" i="45"/>
  <c r="W125" i="45"/>
  <c r="W100" i="38"/>
  <c r="W143" i="38"/>
  <c r="Z108" i="45"/>
  <c r="T145" i="38"/>
  <c r="M145" i="38"/>
  <c r="Q145" i="38"/>
  <c r="G84" i="46"/>
  <c r="G125" i="46"/>
  <c r="Z84" i="46"/>
  <c r="M125" i="46"/>
  <c r="N129" i="46"/>
  <c r="O103" i="25"/>
  <c r="G25" i="35"/>
  <c r="G64" i="35"/>
  <c r="O124" i="47"/>
  <c r="W127" i="47"/>
  <c r="Y131" i="47"/>
  <c r="R50" i="28"/>
  <c r="S55" i="30"/>
  <c r="R127" i="49"/>
  <c r="P124" i="53"/>
  <c r="Q120" i="54"/>
  <c r="N127" i="52"/>
  <c r="R127" i="52"/>
  <c r="U128" i="52"/>
  <c r="T129" i="59"/>
  <c r="M129" i="64"/>
  <c r="H31" i="68"/>
  <c r="D82" i="68"/>
  <c r="H13" i="54"/>
  <c r="J13" i="54"/>
  <c r="H23" i="51"/>
  <c r="J23" i="51"/>
  <c r="M128" i="46"/>
  <c r="Q129" i="46"/>
  <c r="Z116" i="45"/>
  <c r="V124" i="47"/>
  <c r="M127" i="47"/>
  <c r="P124" i="47"/>
  <c r="T124" i="47"/>
  <c r="Z108" i="46"/>
  <c r="Z123" i="46"/>
  <c r="K127" i="50"/>
  <c r="M122" i="56"/>
  <c r="Y131" i="60"/>
  <c r="O131" i="60"/>
  <c r="S131" i="60"/>
  <c r="W131" i="60"/>
  <c r="I131" i="60"/>
  <c r="N131" i="60"/>
  <c r="V131" i="60"/>
  <c r="L131" i="60"/>
  <c r="T131" i="60"/>
  <c r="I129" i="59"/>
  <c r="N131" i="61"/>
  <c r="M135" i="70"/>
  <c r="U135" i="70"/>
  <c r="Z125" i="68"/>
  <c r="Z118" i="68"/>
  <c r="Z105" i="68"/>
  <c r="Z82" i="68"/>
  <c r="Z108" i="67"/>
  <c r="Z96" i="67"/>
  <c r="Z83" i="67"/>
  <c r="Z120" i="66"/>
  <c r="Z107" i="66"/>
  <c r="Z83" i="66"/>
  <c r="V127" i="68"/>
  <c r="U127" i="68"/>
  <c r="R127" i="68"/>
  <c r="P127" i="68"/>
  <c r="O127" i="68"/>
  <c r="N127" i="68"/>
  <c r="L127" i="68"/>
  <c r="K127" i="68"/>
  <c r="K103" i="25"/>
  <c r="X94" i="25"/>
  <c r="N50" i="28"/>
  <c r="T50" i="28"/>
  <c r="K50" i="28"/>
  <c r="J63" i="29"/>
  <c r="M55" i="30"/>
  <c r="U128" i="47"/>
  <c r="Z84" i="50"/>
  <c r="Z76" i="56"/>
  <c r="S127" i="52"/>
  <c r="I124" i="52"/>
  <c r="Q130" i="65"/>
  <c r="U130" i="65"/>
  <c r="N135" i="70"/>
  <c r="K135" i="70"/>
  <c r="J130" i="67"/>
  <c r="M130" i="67"/>
  <c r="Q130" i="67"/>
  <c r="U130" i="67"/>
  <c r="F82" i="68"/>
  <c r="H84" i="62"/>
  <c r="H130" i="62"/>
  <c r="H132" i="62"/>
  <c r="H84" i="61"/>
  <c r="H76" i="56"/>
  <c r="J108" i="51"/>
  <c r="J124" i="47"/>
  <c r="M127" i="49"/>
  <c r="Q127" i="49"/>
  <c r="J124" i="52"/>
  <c r="T124" i="52"/>
  <c r="M127" i="52"/>
  <c r="Q127" i="52"/>
  <c r="M128" i="52"/>
  <c r="W128" i="52"/>
  <c r="O128" i="52"/>
  <c r="S128" i="52"/>
  <c r="U124" i="53"/>
  <c r="Y124" i="53"/>
  <c r="X124" i="53"/>
  <c r="K120" i="54"/>
  <c r="R120" i="54"/>
  <c r="J111" i="54"/>
  <c r="G77" i="55"/>
  <c r="G117" i="55"/>
  <c r="J77" i="55"/>
  <c r="J117" i="55"/>
  <c r="W120" i="54"/>
  <c r="Z111" i="54"/>
  <c r="Q117" i="55"/>
  <c r="U117" i="55"/>
  <c r="Y117" i="55"/>
  <c r="T117" i="55"/>
  <c r="X117" i="55"/>
  <c r="G84" i="62"/>
  <c r="G130" i="62"/>
  <c r="O130" i="62"/>
  <c r="I95" i="64"/>
  <c r="I129" i="64"/>
  <c r="Z132" i="63"/>
  <c r="Z129" i="61"/>
  <c r="Z107" i="61"/>
  <c r="Z109" i="60"/>
  <c r="Z96" i="60"/>
  <c r="Z107" i="59"/>
  <c r="Z95" i="59"/>
  <c r="K134" i="63"/>
  <c r="L134" i="63"/>
  <c r="M134" i="63"/>
  <c r="O134" i="63"/>
  <c r="U134" i="63"/>
  <c r="V134" i="63"/>
  <c r="V130" i="67"/>
  <c r="H83" i="63"/>
  <c r="H116" i="38"/>
  <c r="I135" i="70"/>
  <c r="Z125" i="70"/>
  <c r="G88" i="70"/>
  <c r="G135" i="70"/>
  <c r="H40" i="70"/>
  <c r="H88" i="70"/>
  <c r="D20" i="30"/>
  <c r="H12" i="30"/>
  <c r="H20" i="30"/>
  <c r="H55" i="30"/>
  <c r="H57" i="30"/>
  <c r="R128" i="52"/>
  <c r="R124" i="52"/>
  <c r="J41" i="68"/>
  <c r="T127" i="52"/>
  <c r="E195" i="18"/>
  <c r="Q86" i="32"/>
  <c r="I64" i="33"/>
  <c r="M64" i="33"/>
  <c r="S54" i="34"/>
  <c r="L54" i="34"/>
  <c r="P54" i="34"/>
  <c r="T70" i="37"/>
  <c r="U81" i="36"/>
  <c r="W128" i="47"/>
  <c r="W124" i="47"/>
  <c r="F84" i="51"/>
  <c r="H19" i="51"/>
  <c r="H31" i="37"/>
  <c r="O128" i="47"/>
  <c r="J19" i="51"/>
  <c r="H13" i="19"/>
  <c r="H14" i="19"/>
  <c r="H15" i="65"/>
  <c r="H83" i="65"/>
  <c r="F83" i="65"/>
  <c r="F84" i="65"/>
  <c r="H81" i="59"/>
  <c r="H84" i="59"/>
  <c r="F84" i="59"/>
  <c r="J81" i="59"/>
  <c r="J84" i="59"/>
  <c r="J129" i="59"/>
  <c r="H52" i="38"/>
  <c r="F86" i="38"/>
  <c r="H108" i="51"/>
  <c r="O124" i="52"/>
  <c r="P127" i="47"/>
  <c r="V128" i="47"/>
  <c r="J19" i="65"/>
  <c r="J83" i="65"/>
  <c r="H41" i="68"/>
  <c r="E196" i="18"/>
  <c r="K124" i="47"/>
  <c r="S124" i="47"/>
  <c r="M124" i="47"/>
  <c r="U32" i="28"/>
  <c r="U41" i="28"/>
  <c r="U48" i="28"/>
  <c r="G25" i="29"/>
  <c r="G63" i="29"/>
  <c r="Q63" i="29"/>
  <c r="N63" i="29"/>
  <c r="S63" i="29"/>
  <c r="P63" i="29"/>
  <c r="J55" i="30"/>
  <c r="N55" i="30"/>
  <c r="K55" i="30"/>
  <c r="Q55" i="30"/>
  <c r="T55" i="30"/>
  <c r="G15" i="31"/>
  <c r="G52" i="31"/>
  <c r="H15" i="31"/>
  <c r="H52" i="31"/>
  <c r="H54" i="31"/>
  <c r="F48" i="32"/>
  <c r="H9" i="32"/>
  <c r="H48" i="32"/>
  <c r="G23" i="33"/>
  <c r="G64" i="33"/>
  <c r="T103" i="25"/>
  <c r="Q135" i="70"/>
  <c r="G68" i="25"/>
  <c r="G103" i="25"/>
  <c r="H68" i="25"/>
  <c r="H103" i="25"/>
  <c r="H105" i="25"/>
  <c r="R103" i="25"/>
  <c r="M103" i="25"/>
  <c r="X87" i="25"/>
  <c r="X101" i="25"/>
  <c r="M50" i="28"/>
  <c r="Q50" i="28"/>
  <c r="U24" i="28"/>
  <c r="J50" i="28"/>
  <c r="O50" i="28"/>
  <c r="L52" i="31"/>
  <c r="U25" i="31"/>
  <c r="J52" i="31"/>
  <c r="R52" i="31"/>
  <c r="U36" i="31"/>
  <c r="K52" i="31"/>
  <c r="M52" i="31"/>
  <c r="O52" i="31"/>
  <c r="S52" i="31"/>
  <c r="U50" i="31"/>
  <c r="U48" i="32"/>
  <c r="L86" i="32"/>
  <c r="P86" i="32"/>
  <c r="T86" i="32"/>
  <c r="U58" i="32"/>
  <c r="J86" i="32"/>
  <c r="U71" i="32"/>
  <c r="O86" i="32"/>
  <c r="S86" i="32"/>
  <c r="U84" i="32"/>
  <c r="H23" i="33"/>
  <c r="H68" i="33"/>
  <c r="J64" i="33"/>
  <c r="O64" i="33"/>
  <c r="S64" i="33"/>
  <c r="U33" i="33"/>
  <c r="N64" i="33"/>
  <c r="U46" i="33"/>
  <c r="K64" i="33"/>
  <c r="P64" i="33"/>
  <c r="T64" i="33"/>
  <c r="G15" i="34"/>
  <c r="G54" i="34"/>
  <c r="I54" i="34"/>
  <c r="M54" i="34"/>
  <c r="Q54" i="34"/>
  <c r="U25" i="34"/>
  <c r="J54" i="34"/>
  <c r="N54" i="34"/>
  <c r="R54" i="34"/>
  <c r="O54" i="34"/>
  <c r="S90" i="36"/>
  <c r="U57" i="36"/>
  <c r="K125" i="45"/>
  <c r="O125" i="45"/>
  <c r="R128" i="47"/>
  <c r="P128" i="46"/>
  <c r="U129" i="46"/>
  <c r="N127" i="49"/>
  <c r="U127" i="49"/>
  <c r="J127" i="49"/>
  <c r="V129" i="59"/>
  <c r="U20" i="30"/>
  <c r="P129" i="46"/>
  <c r="J108" i="45"/>
  <c r="G84" i="47"/>
  <c r="G124" i="47"/>
  <c r="L128" i="47"/>
  <c r="T128" i="47"/>
  <c r="I124" i="47"/>
  <c r="Q124" i="47"/>
  <c r="K127" i="47"/>
  <c r="V125" i="46"/>
  <c r="G84" i="49"/>
  <c r="G127" i="49"/>
  <c r="W127" i="49"/>
  <c r="I124" i="51"/>
  <c r="Z115" i="51"/>
  <c r="Q124" i="51"/>
  <c r="S129" i="64"/>
  <c r="K70" i="37"/>
  <c r="U54" i="37"/>
  <c r="N70" i="37"/>
  <c r="U68" i="37"/>
  <c r="W86" i="38"/>
  <c r="N145" i="38"/>
  <c r="R145" i="38"/>
  <c r="W116" i="38"/>
  <c r="I145" i="38"/>
  <c r="L103" i="25"/>
  <c r="J103" i="25"/>
  <c r="L125" i="45"/>
  <c r="Z84" i="45"/>
  <c r="K145" i="38"/>
  <c r="O125" i="46"/>
  <c r="Z96" i="46"/>
  <c r="T125" i="46"/>
  <c r="T127" i="47"/>
  <c r="Z122" i="47"/>
  <c r="I125" i="46"/>
  <c r="V128" i="46"/>
  <c r="Z84" i="49"/>
  <c r="J120" i="56"/>
  <c r="J122" i="56"/>
  <c r="G84" i="60"/>
  <c r="G131" i="60"/>
  <c r="P131" i="60"/>
  <c r="L131" i="61"/>
  <c r="U131" i="61"/>
  <c r="M130" i="62"/>
  <c r="S124" i="51"/>
  <c r="Z96" i="50"/>
  <c r="J125" i="50"/>
  <c r="J127" i="50"/>
  <c r="Z84" i="52"/>
  <c r="Z96" i="52"/>
  <c r="I124" i="53"/>
  <c r="G80" i="54"/>
  <c r="G120" i="54"/>
  <c r="O120" i="54"/>
  <c r="Z118" i="54"/>
  <c r="Z77" i="55"/>
  <c r="R117" i="55"/>
  <c r="V117" i="55"/>
  <c r="G76" i="56"/>
  <c r="G122" i="56"/>
  <c r="M117" i="55"/>
  <c r="W117" i="55"/>
  <c r="L122" i="56"/>
  <c r="N122" i="56"/>
  <c r="L129" i="64"/>
  <c r="T129" i="64"/>
  <c r="Q129" i="64"/>
  <c r="V130" i="65"/>
  <c r="K129" i="66"/>
  <c r="O129" i="66"/>
  <c r="W129" i="66"/>
  <c r="P129" i="66"/>
  <c r="R129" i="66"/>
  <c r="K130" i="67"/>
  <c r="P130" i="67"/>
  <c r="G82" i="68"/>
  <c r="G127" i="68"/>
  <c r="Z83" i="69"/>
  <c r="H83" i="69"/>
  <c r="S129" i="69"/>
  <c r="W129" i="69"/>
  <c r="R129" i="69"/>
  <c r="I129" i="69"/>
  <c r="Z127" i="69"/>
  <c r="S135" i="70"/>
  <c r="W135" i="70"/>
  <c r="Z100" i="70"/>
  <c r="R135" i="70"/>
  <c r="V135" i="70"/>
  <c r="Z133" i="70"/>
  <c r="Z83" i="63"/>
  <c r="Z122" i="60"/>
  <c r="P124" i="51"/>
  <c r="X124" i="51"/>
  <c r="M124" i="52"/>
  <c r="S124" i="52"/>
  <c r="W124" i="52"/>
  <c r="X127" i="52"/>
  <c r="Z115" i="52"/>
  <c r="V128" i="52"/>
  <c r="Z108" i="53"/>
  <c r="K124" i="53"/>
  <c r="O124" i="53"/>
  <c r="S124" i="53"/>
  <c r="W124" i="53"/>
  <c r="G84" i="53"/>
  <c r="G124" i="53"/>
  <c r="Z115" i="53"/>
  <c r="T120" i="54"/>
  <c r="P120" i="54"/>
  <c r="K117" i="55"/>
  <c r="K129" i="59"/>
  <c r="O129" i="59"/>
  <c r="W130" i="67"/>
  <c r="J109" i="60"/>
  <c r="J131" i="60"/>
  <c r="Z127" i="59"/>
  <c r="Q134" i="63"/>
  <c r="Z95" i="64"/>
  <c r="Z107" i="64"/>
  <c r="G83" i="65"/>
  <c r="G130" i="65"/>
  <c r="J135" i="70"/>
  <c r="L120" i="54"/>
  <c r="N122" i="54"/>
  <c r="L128" i="52"/>
  <c r="L124" i="52"/>
  <c r="Y124" i="52"/>
  <c r="Y128" i="52"/>
  <c r="X120" i="54"/>
  <c r="N123" i="54"/>
  <c r="P123" i="54"/>
  <c r="P134" i="63"/>
  <c r="X124" i="52"/>
  <c r="H139" i="63"/>
  <c r="Q128" i="52"/>
  <c r="Q124" i="52"/>
  <c r="E102" i="18"/>
  <c r="E134" i="18"/>
  <c r="E153" i="18"/>
  <c r="E119" i="18"/>
  <c r="E154" i="18"/>
  <c r="E176" i="18"/>
  <c r="E237" i="18"/>
  <c r="H10" i="29"/>
  <c r="H25" i="29"/>
  <c r="F25" i="29"/>
  <c r="G48" i="32"/>
  <c r="G86" i="32"/>
  <c r="U55" i="33"/>
  <c r="E103" i="18"/>
  <c r="E135" i="18"/>
  <c r="G15" i="28"/>
  <c r="G50" i="28"/>
  <c r="W125" i="46"/>
  <c r="M128" i="47"/>
  <c r="Q128" i="47"/>
  <c r="Z123" i="63"/>
  <c r="Z110" i="63"/>
  <c r="E84" i="18"/>
  <c r="U15" i="28"/>
  <c r="N52" i="31"/>
  <c r="Q64" i="33"/>
  <c r="H15" i="34"/>
  <c r="K54" i="34"/>
  <c r="U23" i="33"/>
  <c r="H25" i="35"/>
  <c r="H64" i="35"/>
  <c r="H66" i="35"/>
  <c r="G31" i="37"/>
  <c r="G70" i="37"/>
  <c r="G20" i="30"/>
  <c r="G55" i="30"/>
  <c r="E218" i="18"/>
  <c r="E219" i="18"/>
  <c r="H24" i="19"/>
  <c r="N127" i="47"/>
  <c r="N124" i="47"/>
  <c r="Y120" i="54"/>
  <c r="O122" i="56"/>
  <c r="W122" i="56"/>
  <c r="K124" i="52"/>
  <c r="K127" i="52"/>
  <c r="V124" i="52"/>
  <c r="V127" i="52"/>
  <c r="N86" i="32"/>
  <c r="L64" i="33"/>
  <c r="T54" i="34"/>
  <c r="P127" i="49"/>
  <c r="G84" i="50"/>
  <c r="G127" i="50"/>
  <c r="M124" i="51"/>
  <c r="U124" i="51"/>
  <c r="Z84" i="60"/>
  <c r="O64" i="35"/>
  <c r="T64" i="35"/>
  <c r="S145" i="38"/>
  <c r="U127" i="52"/>
  <c r="N130" i="67"/>
  <c r="R130" i="67"/>
  <c r="L63" i="29"/>
  <c r="I64" i="35"/>
  <c r="U48" i="35"/>
  <c r="U145" i="38"/>
  <c r="X128" i="47"/>
  <c r="X124" i="47"/>
  <c r="T127" i="49"/>
  <c r="Z115" i="47"/>
  <c r="U124" i="52"/>
  <c r="L124" i="53"/>
  <c r="N120" i="54"/>
  <c r="V120" i="54"/>
  <c r="Z104" i="54"/>
  <c r="M126" i="51"/>
  <c r="Z88" i="70"/>
  <c r="P135" i="70"/>
  <c r="Z84" i="61"/>
  <c r="Z120" i="59"/>
  <c r="T134" i="63"/>
  <c r="W134" i="63"/>
  <c r="J121" i="65"/>
  <c r="L50" i="28"/>
  <c r="P50" i="28"/>
  <c r="I50" i="28"/>
  <c r="U61" i="29"/>
  <c r="I125" i="45"/>
  <c r="V127" i="49"/>
  <c r="K128" i="52"/>
  <c r="T128" i="52"/>
  <c r="Q131" i="60"/>
  <c r="T130" i="62"/>
  <c r="P130" i="65"/>
  <c r="Z98" i="63"/>
  <c r="Z84" i="59"/>
  <c r="R134" i="63"/>
  <c r="Z129" i="60"/>
  <c r="X128" i="52"/>
  <c r="S134" i="63"/>
  <c r="F77" i="55"/>
  <c r="H23" i="55"/>
  <c r="H77" i="55"/>
  <c r="Y126" i="51"/>
  <c r="H84" i="45"/>
  <c r="H125" i="45"/>
  <c r="H127" i="45"/>
  <c r="H127" i="56"/>
  <c r="H129" i="64"/>
  <c r="H131" i="64"/>
  <c r="H129" i="52"/>
  <c r="H130" i="46"/>
  <c r="H64" i="33"/>
  <c r="H66" i="33"/>
  <c r="H134" i="66"/>
  <c r="H132" i="50"/>
  <c r="H55" i="28"/>
  <c r="H124" i="52"/>
  <c r="H126" i="52"/>
  <c r="Z128" i="46"/>
  <c r="H122" i="56"/>
  <c r="H124" i="56"/>
  <c r="H50" i="28"/>
  <c r="H52" i="28"/>
  <c r="F314" i="18"/>
  <c r="J80" i="54"/>
  <c r="J120" i="54"/>
  <c r="H135" i="67"/>
  <c r="H131" i="60"/>
  <c r="H133" i="60"/>
  <c r="U90" i="36"/>
  <c r="J84" i="45"/>
  <c r="J125" i="45"/>
  <c r="H127" i="50"/>
  <c r="H129" i="50"/>
  <c r="Z130" i="67"/>
  <c r="Z127" i="68"/>
  <c r="H125" i="46"/>
  <c r="H127" i="46"/>
  <c r="W133" i="61"/>
  <c r="H134" i="63"/>
  <c r="H136" i="63"/>
  <c r="U54" i="34"/>
  <c r="J84" i="51"/>
  <c r="U52" i="31"/>
  <c r="Z130" i="65"/>
  <c r="Z129" i="66"/>
  <c r="H134" i="64"/>
  <c r="H136" i="61"/>
  <c r="Z129" i="46"/>
  <c r="H127" i="49"/>
  <c r="H129" i="49"/>
  <c r="Z122" i="56"/>
  <c r="H80" i="54"/>
  <c r="Z131" i="61"/>
  <c r="Z128" i="47"/>
  <c r="H25" i="19"/>
  <c r="W145" i="38"/>
  <c r="J82" i="68"/>
  <c r="J127" i="68"/>
  <c r="H84" i="51"/>
  <c r="H136" i="60"/>
  <c r="Z124" i="53"/>
  <c r="Z130" i="62"/>
  <c r="H124" i="53"/>
  <c r="H126" i="53"/>
  <c r="U50" i="28"/>
  <c r="Z129" i="69"/>
  <c r="H129" i="53"/>
  <c r="I92" i="54"/>
  <c r="Z117" i="55"/>
  <c r="X103" i="25"/>
  <c r="H124" i="47"/>
  <c r="H126" i="47"/>
  <c r="H135" i="62"/>
  <c r="O131" i="66"/>
  <c r="V130" i="46"/>
  <c r="H82" i="68"/>
  <c r="H127" i="68"/>
  <c r="H129" i="68"/>
  <c r="H129" i="47"/>
  <c r="U63" i="29"/>
  <c r="H108" i="25"/>
  <c r="U70" i="37"/>
  <c r="Z124" i="51"/>
  <c r="O132" i="66"/>
  <c r="H135" i="65"/>
  <c r="H130" i="65"/>
  <c r="H132" i="65"/>
  <c r="U64" i="35"/>
  <c r="Z125" i="45"/>
  <c r="U55" i="30"/>
  <c r="H86" i="38"/>
  <c r="H145" i="38"/>
  <c r="H147" i="38"/>
  <c r="J124" i="51"/>
  <c r="F130" i="18"/>
  <c r="H131" i="61"/>
  <c r="H133" i="61"/>
  <c r="Z120" i="54"/>
  <c r="Y132" i="47"/>
  <c r="V129" i="47"/>
  <c r="F100" i="18"/>
  <c r="E118" i="18"/>
  <c r="Z124" i="52"/>
  <c r="Z127" i="49"/>
  <c r="V131" i="52"/>
  <c r="U64" i="33"/>
  <c r="Z127" i="50"/>
  <c r="Z135" i="70"/>
  <c r="H135" i="70"/>
  <c r="H137" i="70"/>
  <c r="H140" i="70"/>
  <c r="V131" i="46"/>
  <c r="U86" i="32"/>
  <c r="H70" i="37"/>
  <c r="H72" i="37"/>
  <c r="H134" i="59"/>
  <c r="H129" i="59"/>
  <c r="H131" i="59"/>
  <c r="E175" i="18"/>
  <c r="V130" i="47"/>
  <c r="Z129" i="64"/>
  <c r="H129" i="69"/>
  <c r="H131" i="69"/>
  <c r="H134" i="69"/>
  <c r="Z125" i="46"/>
  <c r="Z131" i="60"/>
  <c r="H30" i="19"/>
  <c r="H37" i="19"/>
  <c r="H43" i="19"/>
  <c r="H48" i="19"/>
  <c r="H60" i="19"/>
  <c r="H71" i="19"/>
  <c r="H130" i="45"/>
  <c r="H86" i="32"/>
  <c r="H88" i="32"/>
  <c r="H89" i="32"/>
  <c r="H67" i="29"/>
  <c r="H63" i="29"/>
  <c r="H65" i="29"/>
  <c r="H54" i="34"/>
  <c r="H56" i="34"/>
  <c r="H58" i="34"/>
  <c r="Z129" i="59"/>
  <c r="V130" i="52"/>
  <c r="H122" i="55"/>
  <c r="H117" i="55"/>
  <c r="H119" i="55"/>
  <c r="Z134" i="63"/>
  <c r="Z124" i="47"/>
  <c r="J84" i="65"/>
  <c r="J130" i="65"/>
  <c r="P122" i="54"/>
  <c r="N124" i="54"/>
  <c r="P124" i="54"/>
  <c r="I120" i="54"/>
  <c r="H129" i="51"/>
  <c r="H132" i="68"/>
  <c r="H125" i="54"/>
  <c r="H120" i="54"/>
  <c r="H122" i="54"/>
  <c r="H124" i="51"/>
  <c r="H126" i="51"/>
  <c r="F132" i="18"/>
  <c r="F149" i="18"/>
  <c r="F151" i="18"/>
  <c r="F171" i="18"/>
  <c r="F173" i="18"/>
  <c r="F191" i="18"/>
  <c r="F214" i="18"/>
  <c r="F193" i="18"/>
  <c r="F233" i="18"/>
  <c r="F216" i="18"/>
  <c r="F254" i="18"/>
  <c r="F235" i="18"/>
  <c r="F256" i="18"/>
  <c r="F288" i="18"/>
  <c r="F290" i="18"/>
  <c r="H144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Kristie Davis:
moved renewal from Jan to Oct</t>
        </r>
      </text>
    </comment>
    <comment ref="A47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69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M110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no charge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  <author>Maggie Frank</author>
  </authors>
  <commentList>
    <comment ref="A4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0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H111" authorId="2" shapeId="0" xr:uid="{00000000-0006-0000-0E00-000003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$5,079 + $2,200 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Jenifer Lyman</author>
    <author>Kristie L. Davis</author>
  </authors>
  <commentList>
    <comment ref="F40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Jenifer Lyman:</t>
        </r>
        <r>
          <rPr>
            <sz val="9"/>
            <color indexed="81"/>
            <rFont val="Tahoma"/>
            <family val="2"/>
          </rPr>
          <t xml:space="preserve">
Drop at time of renewal
</t>
        </r>
      </text>
    </comment>
    <comment ref="A46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Bill seperately from West</t>
        </r>
      </text>
    </comment>
    <comment ref="A47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bill seperately from Pembroke</t>
        </r>
      </text>
    </comment>
    <comment ref="H11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Jenifer Lyman:</t>
        </r>
        <r>
          <rPr>
            <sz val="9"/>
            <color indexed="81"/>
            <rFont val="Tahoma"/>
            <family val="2"/>
          </rPr>
          <t xml:space="preserve">
Drop at time of renewal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Kristie Davis</author>
    <author>Maggie Frank</author>
  </authors>
  <commentList>
    <comment ref="G44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broke out bypass</t>
        </r>
      </text>
    </comment>
    <comment ref="A48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1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F88" authorId="2" shapeId="0" xr:uid="{00000000-0006-0000-1000-000004000000}">
      <text>
        <r>
          <rPr>
            <b/>
            <sz val="8"/>
            <color indexed="81"/>
            <rFont val="Tahoma"/>
            <family val="2"/>
          </rPr>
          <t>Maggie Frank:</t>
        </r>
        <r>
          <rPr>
            <sz val="8"/>
            <color indexed="81"/>
            <rFont val="Tahoma"/>
            <family val="2"/>
          </rPr>
          <t xml:space="preserve">
May be moving their effective date to 2016</t>
        </r>
      </text>
    </comment>
    <comment ref="H114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no credit issued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</authors>
  <commentList>
    <comment ref="G71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H11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no credit issued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Frank</author>
    <author>Kristie L. Davis</author>
  </authors>
  <commentList>
    <comment ref="A2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Maggie Frank:</t>
        </r>
        <r>
          <rPr>
            <sz val="8"/>
            <color indexed="81"/>
            <rFont val="Tahoma"/>
            <family val="2"/>
          </rPr>
          <t xml:space="preserve">
Not on Auto-Renewal. Must send an annual Amendment to extend Services Agreement. </t>
        </r>
      </text>
    </comment>
    <comment ref="G71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Maggie Frank</author>
  </authors>
  <commentList>
    <comment ref="G71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H102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Includes 10% discount
KD-4/25- should be 20%</t>
        </r>
      </text>
    </comment>
    <comment ref="H113" authorId="1" shapeId="0" xr:uid="{00000000-0006-0000-1300-000003000000}">
      <text>
        <r>
          <rPr>
            <b/>
            <sz val="9"/>
            <color indexed="81"/>
            <rFont val="Tahoma"/>
            <family val="2"/>
          </rPr>
          <t xml:space="preserve">Maggie Frank: </t>
        </r>
        <r>
          <rPr>
            <sz val="9"/>
            <color indexed="81"/>
            <rFont val="Tahoma"/>
            <family val="2"/>
          </rPr>
          <t>Amount includes 5% HS discount</t>
        </r>
      </text>
    </comment>
    <comment ref="A122" authorId="1" shapeId="0" xr:uid="{00000000-0006-0000-1300-000004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Have removed all registries. Techinically terminated, but will remain "inactive" on the health system agreement. </t>
        </r>
      </text>
    </comment>
    <comment ref="H122" authorId="1" shapeId="0" xr:uid="{00000000-0006-0000-1300-000005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Amount includes 5% HS discount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Katie Emerson</author>
    <author>Kristie L. Davis</author>
  </authors>
  <commentList>
    <comment ref="F9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Katie Emerson:</t>
        </r>
        <r>
          <rPr>
            <sz val="9"/>
            <color indexed="81"/>
            <rFont val="Tahoma"/>
            <family val="2"/>
          </rPr>
          <t xml:space="preserve">
Renewed in June</t>
        </r>
      </text>
    </comment>
    <comment ref="E1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moved to ff per betti, split infra &amp; supra</t>
        </r>
      </text>
    </comment>
    <comment ref="G71" authorId="1" shapeId="0" xr:uid="{00000000-0006-0000-14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Maggie Frank</author>
  </authors>
  <commentList>
    <comment ref="F6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moved to flat fee
</t>
        </r>
      </text>
    </comment>
    <comment ref="F7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moved to flat fee</t>
        </r>
      </text>
    </comment>
    <comment ref="E34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broke out bypass</t>
        </r>
      </text>
    </comment>
    <comment ref="G71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H89" authorId="1" shapeId="0" xr:uid="{00000000-0006-0000-1500-000005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Include Data Import annual fee</t>
        </r>
      </text>
    </comment>
    <comment ref="I89" authorId="1" shapeId="0" xr:uid="{00000000-0006-0000-1500-000006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Includes DI set-up fee
</t>
        </r>
      </text>
    </comment>
    <comment ref="H102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removed $500 credit given at time of inception
</t>
        </r>
      </text>
    </comment>
    <comment ref="F103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accidentally billed in June and they paid for it 6/29/16</t>
        </r>
      </text>
    </comment>
    <comment ref="H107" authorId="1" shapeId="0" xr:uid="{00000000-0006-0000-1500-000009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Includes registries and DI fee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</authors>
  <commentList>
    <comment ref="G7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1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</authors>
  <commentList>
    <comment ref="G71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I90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give me 5 promo additional set up fee for commissions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Maggie Frank</author>
  </authors>
  <commentList>
    <comment ref="G67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I88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Receiving 50% off promo. Should be $2,500.
</t>
        </r>
      </text>
    </comment>
    <comment ref="H96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contracted at 2016 pricing but customer currently on 2015 pricing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Katie Emerson</author>
    <author>Kristie L. Davis</author>
    <author>Maggie Frank</author>
  </authors>
  <commentList>
    <comment ref="A4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Katie Emerson:</t>
        </r>
        <r>
          <rPr>
            <sz val="9"/>
            <color indexed="81"/>
            <rFont val="Tahoma"/>
            <family val="2"/>
          </rPr>
          <t xml:space="preserve">
September Renewal
</t>
        </r>
      </text>
    </comment>
    <comment ref="F41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not renewed yet</t>
        </r>
      </text>
    </comment>
    <comment ref="A42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Katie Emerson:</t>
        </r>
        <r>
          <rPr>
            <sz val="9"/>
            <color indexed="81"/>
            <rFont val="Tahoma"/>
            <family val="2"/>
          </rPr>
          <t xml:space="preserve">
September Renewal
</t>
        </r>
      </text>
    </comment>
    <comment ref="G64" authorId="1" shapeId="0" xr:uid="{00000000-0006-0000-1900-000004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I81" authorId="2" shapeId="0" xr:uid="{00000000-0006-0000-1900-000005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Promo - to be reduced to $2,500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</authors>
  <commentList>
    <comment ref="G63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Flook</author>
  </authors>
  <commentList>
    <comment ref="C181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Lara Flook:</t>
        </r>
        <r>
          <rPr>
            <sz val="8"/>
            <color indexed="81"/>
            <rFont val="Tahoma"/>
            <family val="2"/>
          </rPr>
          <t xml:space="preserve">
11/21/13 Ks sent 
2/14/14 revising BAAs
5/28/14 William says ready to go fwd w/ Ks
8/28/14 Ks finalized</t>
        </r>
      </text>
    </comment>
    <comment ref="D201" authorId="0" shapeId="0" xr:uid="{00000000-0006-0000-1E00-000002000000}">
      <text>
        <r>
          <rPr>
            <b/>
            <sz val="8"/>
            <color indexed="81"/>
            <rFont val="Tahoma"/>
            <family val="2"/>
          </rPr>
          <t>Lara Flook:</t>
        </r>
        <r>
          <rPr>
            <sz val="8"/>
            <color indexed="81"/>
            <rFont val="Tahoma"/>
            <family val="2"/>
          </rPr>
          <t xml:space="preserve">
revenue recognized in Sept; will renew in July 2015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Flook</author>
  </authors>
  <commentList>
    <comment ref="B73" authorId="0" shapeId="0" xr:uid="{00000000-0006-0000-1F00-000001000000}">
      <text>
        <r>
          <rPr>
            <b/>
            <sz val="8"/>
            <color indexed="81"/>
            <rFont val="Tahoma"/>
            <family val="2"/>
          </rPr>
          <t>Lara Flook:</t>
        </r>
        <r>
          <rPr>
            <sz val="8"/>
            <color indexed="81"/>
            <rFont val="Tahoma"/>
            <family val="2"/>
          </rPr>
          <t xml:space="preserve">
Not sure how this is going to end up-- Emory is restructuring its contract and this may lead to a different result but this was the amendment they were last sent.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Katie Emerson</author>
  </authors>
  <commentList>
    <comment ref="Q17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on original contract, not renewed for 2014, not sure why</t>
        </r>
      </text>
    </comment>
    <comment ref="H25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Katie Emerson:</t>
        </r>
        <r>
          <rPr>
            <sz val="9"/>
            <color indexed="81"/>
            <rFont val="Tahoma"/>
            <family val="2"/>
          </rPr>
          <t xml:space="preserve">
Price Adjustment to Health System pricing
</t>
        </r>
      </text>
    </comment>
    <comment ref="J29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only supra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</authors>
  <commentList>
    <comment ref="H18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includes drop recorded below</t>
        </r>
      </text>
    </comment>
    <comment ref="E20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these procedures were dropped in december, never removed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Katie Emerson</author>
    <author>Maggie Frank</author>
  </authors>
  <commentList>
    <comment ref="F42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Katie Emerson:</t>
        </r>
        <r>
          <rPr>
            <sz val="9"/>
            <color indexed="81"/>
            <rFont val="Tahoma"/>
            <family val="2"/>
          </rPr>
          <t xml:space="preserve">
DI not billed prior</t>
        </r>
      </text>
    </comment>
    <comment ref="F56" authorId="1" shapeId="0" xr:uid="{00000000-0006-0000-2600-000002000000}">
      <text>
        <r>
          <rPr>
            <b/>
            <sz val="8"/>
            <color indexed="81"/>
            <rFont val="Tahoma"/>
            <family val="2"/>
          </rPr>
          <t>Maggie Frank:</t>
        </r>
        <r>
          <rPr>
            <sz val="8"/>
            <color indexed="81"/>
            <rFont val="Tahoma"/>
            <family val="2"/>
          </rPr>
          <t xml:space="preserve">
May be moving their effective date to 2016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Frank</author>
  </authors>
  <commentList>
    <comment ref="F38" authorId="0" shapeId="0" xr:uid="{00000000-0006-0000-2700-000001000000}">
      <text>
        <r>
          <rPr>
            <b/>
            <sz val="8"/>
            <color indexed="81"/>
            <rFont val="Tahoma"/>
            <family val="2"/>
          </rPr>
          <t>Maggie Frank:</t>
        </r>
        <r>
          <rPr>
            <sz val="8"/>
            <color indexed="81"/>
            <rFont val="Tahoma"/>
            <family val="2"/>
          </rPr>
          <t xml:space="preserve">
May be moving their effective date to 2016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Frank</author>
    <author>Kristie Davis</author>
    <author>Kristie L. Davis</author>
  </authors>
  <commentList>
    <comment ref="A1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Maggie Frank:</t>
        </r>
        <r>
          <rPr>
            <sz val="8"/>
            <color indexed="81"/>
            <rFont val="Tahoma"/>
            <family val="2"/>
          </rPr>
          <t xml:space="preserve">
Not on Auto-Renewal. Must send an annual Amendment to extend Services 4 </t>
        </r>
      </text>
    </comment>
    <comment ref="A49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1" authorId="2" shapeId="0" xr:uid="{00000000-0006-0000-06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Maggie Frank</author>
  </authors>
  <commentList>
    <comment ref="H63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dropped DI in July never removed from RTR</t>
        </r>
      </text>
    </comment>
    <comment ref="J91" authorId="1" shapeId="0" xr:uid="{00000000-0006-0000-2800-000002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Infra only</t>
        </r>
      </text>
    </comment>
    <comment ref="J92" authorId="1" shapeId="0" xr:uid="{00000000-0006-0000-2800-000003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Infra and Supra billed as one</t>
        </r>
      </text>
    </comment>
    <comment ref="J93" authorId="1" shapeId="0" xr:uid="{00000000-0006-0000-2800-000004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Infra and Supra billed as one</t>
        </r>
      </text>
    </comment>
    <comment ref="J97" authorId="1" shapeId="0" xr:uid="{00000000-0006-0000-2800-000005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Infra only</t>
        </r>
      </text>
    </comment>
    <comment ref="W100" authorId="1" shapeId="0" xr:uid="{00000000-0006-0000-2800-000006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Memorial Pembroke and West have Infra and Supra billed together as LEB</t>
        </r>
      </text>
    </comment>
    <comment ref="H106" authorId="0" shapeId="0" xr:uid="{00000000-0006-0000-2800-000007000000}">
      <text>
        <r>
          <rPr>
            <b/>
            <sz val="9"/>
            <color indexed="81"/>
            <rFont val="Tahoma"/>
            <family val="2"/>
          </rPr>
          <t xml:space="preserve">Kristie L. Davis
</t>
        </r>
        <r>
          <rPr>
            <sz val="9"/>
            <color indexed="81"/>
            <rFont val="Tahoma"/>
            <family val="2"/>
          </rPr>
          <t xml:space="preserve">customer renewas Jan 1, billing in Jan at time of renewal
</t>
        </r>
      </text>
    </comment>
    <comment ref="H107" authorId="0" shapeId="0" xr:uid="{00000000-0006-0000-2800-000008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being invoiced in January with renewal for 13 months</t>
        </r>
      </text>
    </comment>
    <comment ref="H137" authorId="0" shapeId="0" xr:uid="{00000000-0006-0000-2800-000009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m2s terminating</t>
        </r>
      </text>
    </comment>
    <comment ref="H142" authorId="0" shapeId="0" xr:uid="{00000000-0006-0000-2800-00000A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m2s terminating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</authors>
  <commentList>
    <comment ref="E15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includes DI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1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0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L. Davis</author>
    <author>Maggie Frank</author>
  </authors>
  <commentList>
    <comment ref="G7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  <comment ref="H90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Maggie Frank:</t>
        </r>
        <r>
          <rPr>
            <sz val="9"/>
            <color indexed="81"/>
            <rFont val="Tahoma"/>
            <family val="2"/>
          </rPr>
          <t xml:space="preserve">
5% Health System Discount plus Data Import fees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0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4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0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Kristie Davis</author>
    <author>Kristie L. Davis</author>
  </authors>
  <commentList>
    <comment ref="A3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Amendment to renew</t>
        </r>
      </text>
    </comment>
    <comment ref="A48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Kristie Davis:</t>
        </r>
        <r>
          <rPr>
            <sz val="9"/>
            <color indexed="81"/>
            <rFont val="Tahoma"/>
            <family val="2"/>
          </rPr>
          <t xml:space="preserve">
changed contract date from May to Jan- this term expires 12/31/14
</t>
        </r>
      </text>
    </comment>
    <comment ref="G70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Kristie L. Davis:</t>
        </r>
        <r>
          <rPr>
            <sz val="9"/>
            <color indexed="81"/>
            <rFont val="Tahoma"/>
            <family val="2"/>
          </rPr>
          <t xml:space="preserve">
split bypass'</t>
        </r>
      </text>
    </comment>
  </commentList>
</comments>
</file>

<file path=xl/sharedStrings.xml><?xml version="1.0" encoding="utf-8"?>
<sst xmlns="http://schemas.openxmlformats.org/spreadsheetml/2006/main" count="10455" uniqueCount="2020">
  <si>
    <t>SVS</t>
  </si>
  <si>
    <t>Institution Name</t>
  </si>
  <si>
    <t>Effective Date</t>
  </si>
  <si>
    <t>Sentara Leigh Hospital</t>
  </si>
  <si>
    <t>Sentara Virginia Beach General Hospital</t>
  </si>
  <si>
    <t>Sentara Careplex Hospital</t>
  </si>
  <si>
    <t>Sentara Obici Hospital</t>
  </si>
  <si>
    <t>Aurora St. Luke's Medical Center</t>
  </si>
  <si>
    <t>Aurora St. Luke's South Shore</t>
  </si>
  <si>
    <t>Aurora Sinai Medical Center</t>
  </si>
  <si>
    <t>Aurora West Allis Medical Center</t>
  </si>
  <si>
    <t>Aurora Memorial Hospital of Burlington</t>
  </si>
  <si>
    <t>Aurora Lakeland Medical Center</t>
  </si>
  <si>
    <t>Aurora Baycare Medical Center</t>
  </si>
  <si>
    <t>Aurora Medical Center of Manitowoc County</t>
  </si>
  <si>
    <t>Aurora Sheboygan Memorial Medical Center</t>
  </si>
  <si>
    <t>Aurora Medical Center Summit</t>
  </si>
  <si>
    <t>University of California San Diego</t>
  </si>
  <si>
    <t>OSF - Saint Anthony Medical Center</t>
  </si>
  <si>
    <t>OSF - Saint Francis Medical Center</t>
  </si>
  <si>
    <t>OSF - St Joseph Medical Center</t>
  </si>
  <si>
    <t>Guthrie Clinic</t>
  </si>
  <si>
    <t>Greenville Hospital</t>
  </si>
  <si>
    <t>Sharp Grossmont Hospital</t>
  </si>
  <si>
    <t>Floyd Medical Center</t>
  </si>
  <si>
    <t>PVA</t>
  </si>
  <si>
    <t>Cleveland Clinic</t>
  </si>
  <si>
    <t>Allina Abbott Northwestern</t>
  </si>
  <si>
    <t>Allina Mercy Hospital</t>
  </si>
  <si>
    <t>Allina United Hospital</t>
  </si>
  <si>
    <t>Allina Unity Hospital</t>
  </si>
  <si>
    <t>Emory</t>
  </si>
  <si>
    <t>SSM Healthcare</t>
  </si>
  <si>
    <t>Maine Medical Center</t>
  </si>
  <si>
    <t xml:space="preserve">Lakes Regional </t>
  </si>
  <si>
    <t>Elliot Hospital</t>
  </si>
  <si>
    <t>Eastern Maine Medical Center</t>
  </si>
  <si>
    <t>Concord Hospital</t>
  </si>
  <si>
    <t>Boston Medical Center</t>
  </si>
  <si>
    <t>Baystate Medical Center</t>
  </si>
  <si>
    <t>Augusta Health</t>
  </si>
  <si>
    <t>West Penn Hospital</t>
  </si>
  <si>
    <t>Catholic Health Sister of Charity Hospital</t>
  </si>
  <si>
    <t>Winthrop University Hospital</t>
  </si>
  <si>
    <t>University of Arizona</t>
  </si>
  <si>
    <t>Winchester Medical Center</t>
  </si>
  <si>
    <t>Charleston Area Medical Center</t>
  </si>
  <si>
    <t>Henry Ford Hospital</t>
  </si>
  <si>
    <t>Hartford Hospital</t>
  </si>
  <si>
    <t>Alamance Regional Medical Center</t>
  </si>
  <si>
    <t>Atlantic Health</t>
  </si>
  <si>
    <t>Stony Brook</t>
  </si>
  <si>
    <t>University of Virginia</t>
  </si>
  <si>
    <t>Hill Country Memorial</t>
  </si>
  <si>
    <t>Michigan Vascular Center</t>
  </si>
  <si>
    <t>Mary Washington Hospital</t>
  </si>
  <si>
    <t>Danbury Hospital</t>
  </si>
  <si>
    <t>Albany Vascular Specialist</t>
  </si>
  <si>
    <t>Renewal</t>
  </si>
  <si>
    <t>Rep</t>
  </si>
  <si>
    <t>MR</t>
  </si>
  <si>
    <t>AP</t>
  </si>
  <si>
    <t>McLaren Flint</t>
  </si>
  <si>
    <t>Sentara Princess Anne Hospital</t>
  </si>
  <si>
    <t>Operating Budget</t>
  </si>
  <si>
    <t>Institution</t>
  </si>
  <si>
    <t>Upsell Month</t>
  </si>
  <si>
    <t>Procedure(s) Added</t>
  </si>
  <si>
    <t>Recurring Rev.</t>
  </si>
  <si>
    <t>Month to Invoice</t>
  </si>
  <si>
    <t>CJW - Johnston Willis</t>
  </si>
  <si>
    <t>Sentara Obici</t>
  </si>
  <si>
    <t>Sentara Careplex</t>
  </si>
  <si>
    <t>Sentara Princess Anne</t>
  </si>
  <si>
    <t>Hemodialysis</t>
  </si>
  <si>
    <t>Hemo, LEB, Endo AAA, Open AAA and PVI</t>
  </si>
  <si>
    <t>LEB and TEVAR</t>
  </si>
  <si>
    <t>LEB</t>
  </si>
  <si>
    <t>Endo AAA and CAS</t>
  </si>
  <si>
    <t>Amputation and IVC Filter</t>
  </si>
  <si>
    <t>UPENN</t>
  </si>
  <si>
    <t>Billable</t>
  </si>
  <si>
    <t>EVAR, Open AAA, LEB, PVI, TEVAR and Amp</t>
  </si>
  <si>
    <t>Winchester</t>
  </si>
  <si>
    <t>Lower Extremity Amputation</t>
  </si>
  <si>
    <t>Maine Medical</t>
  </si>
  <si>
    <t>Beebe</t>
  </si>
  <si>
    <t>CAS</t>
  </si>
  <si>
    <t>MUHA</t>
  </si>
  <si>
    <t>Amputation</t>
  </si>
  <si>
    <t>UFL Shands</t>
  </si>
  <si>
    <t>IVC Filter</t>
  </si>
  <si>
    <t>Henry Ford</t>
  </si>
  <si>
    <t>MGH</t>
  </si>
  <si>
    <t>PSO Fee</t>
  </si>
  <si>
    <t>Carondelet Specialist Group</t>
  </si>
  <si>
    <t>BIDMC</t>
  </si>
  <si>
    <t>Carroll</t>
  </si>
  <si>
    <t>Marin</t>
  </si>
  <si>
    <t>Data Import</t>
  </si>
  <si>
    <t>MM</t>
  </si>
  <si>
    <t>Inova Heart &amp; Vascular-Fair Oaks Hospital</t>
  </si>
  <si>
    <t>Inova Heart &amp; Vascular-Gainesville Vascular</t>
  </si>
  <si>
    <t>St Elizabeth Medical Center</t>
  </si>
  <si>
    <t>IVC Filter and Amputation</t>
  </si>
  <si>
    <t>Meridian -Jersey Shore University Medical Center</t>
  </si>
  <si>
    <t>Meridian- Ocean Medical Center</t>
  </si>
  <si>
    <t>Meridian-Riverview Medical Center</t>
  </si>
  <si>
    <t>Meridian-Bayshore Community Hospital</t>
  </si>
  <si>
    <t>Meridian-Southern Ocean Medical Center</t>
  </si>
  <si>
    <t>Scott &amp; White</t>
  </si>
  <si>
    <t>University of VA</t>
  </si>
  <si>
    <t>St Alphonsus</t>
  </si>
  <si>
    <t>LEB and Hemo</t>
  </si>
  <si>
    <t>John Hopkins Bayview Medical Center</t>
  </si>
  <si>
    <t>DM</t>
  </si>
  <si>
    <t>UC Davis Health System</t>
  </si>
  <si>
    <t>Piedmont Hospital Atlanta</t>
  </si>
  <si>
    <t>University of Michigan</t>
  </si>
  <si>
    <t>IVC Filter and Hemodialysis</t>
  </si>
  <si>
    <t>Weill-Cornell</t>
  </si>
  <si>
    <t>Kennedy University Hospital</t>
  </si>
  <si>
    <t>NY</t>
  </si>
  <si>
    <t>AZ</t>
  </si>
  <si>
    <t>MS</t>
  </si>
  <si>
    <t>SC</t>
  </si>
  <si>
    <t>TX</t>
  </si>
  <si>
    <t>MD</t>
  </si>
  <si>
    <t>VA</t>
  </si>
  <si>
    <t>NE</t>
  </si>
  <si>
    <t>IA</t>
  </si>
  <si>
    <t>IL</t>
  </si>
  <si>
    <t>MA</t>
  </si>
  <si>
    <t>ME</t>
  </si>
  <si>
    <t>NH</t>
  </si>
  <si>
    <t>CO</t>
  </si>
  <si>
    <t>TN</t>
  </si>
  <si>
    <t>MN</t>
  </si>
  <si>
    <t>CA</t>
  </si>
  <si>
    <t>GA</t>
  </si>
  <si>
    <t>MI</t>
  </si>
  <si>
    <t>FL</t>
  </si>
  <si>
    <t>NJ</t>
  </si>
  <si>
    <t>OH</t>
  </si>
  <si>
    <t>PA</t>
  </si>
  <si>
    <t>MO</t>
  </si>
  <si>
    <t>ID</t>
  </si>
  <si>
    <t>VT</t>
  </si>
  <si>
    <t>Baptist Hospital of Miami</t>
  </si>
  <si>
    <t>RI</t>
  </si>
  <si>
    <t>NM</t>
  </si>
  <si>
    <t>WA</t>
  </si>
  <si>
    <t>Dr. John Lucas III</t>
  </si>
  <si>
    <t>St. Agnes Healthcare</t>
  </si>
  <si>
    <t>Trident Medical Center</t>
  </si>
  <si>
    <t>NC</t>
  </si>
  <si>
    <t>WV</t>
  </si>
  <si>
    <t>CT</t>
  </si>
  <si>
    <t>SD</t>
  </si>
  <si>
    <t>IN</t>
  </si>
  <si>
    <t>WI</t>
  </si>
  <si>
    <t>Palmetto Health Richland</t>
  </si>
  <si>
    <t>SNIS</t>
  </si>
  <si>
    <t>El Camino Hospital</t>
  </si>
  <si>
    <t>UT</t>
  </si>
  <si>
    <t>LA</t>
  </si>
  <si>
    <t>KY</t>
  </si>
  <si>
    <t>Beebe Healthcare</t>
  </si>
  <si>
    <t>DE</t>
  </si>
  <si>
    <t>King's Daughter Medical Center</t>
  </si>
  <si>
    <t>NV</t>
  </si>
  <si>
    <t>OR</t>
  </si>
  <si>
    <t>MT</t>
  </si>
  <si>
    <t xml:space="preserve">St. Michaels                                           </t>
  </si>
  <si>
    <t xml:space="preserve">Toronto General Hospital     </t>
  </si>
  <si>
    <t>Carroll Hospital Center</t>
  </si>
  <si>
    <t>Sharp Memorial Hospital</t>
  </si>
  <si>
    <t>MedStar- Washington Hospital Center</t>
  </si>
  <si>
    <t>University of Maryland Medical Center</t>
  </si>
  <si>
    <t>Tallahassee Memorial Health</t>
  </si>
  <si>
    <t>UNC Hospitals</t>
  </si>
  <si>
    <t>UCLA- Ronald Reagan Medical Center</t>
  </si>
  <si>
    <t>Palo Alto Medical Foundation</t>
  </si>
  <si>
    <t>Cedars-Sinai Medical Center</t>
  </si>
  <si>
    <t>UCLA Harbor Medical Center- Los Angeles County</t>
  </si>
  <si>
    <t>Providence Saint Joseph Medical Center</t>
  </si>
  <si>
    <t>Providence Tarzana Medical Center</t>
  </si>
  <si>
    <t>San Fernando Valley Vascular Group</t>
  </si>
  <si>
    <t>Marin General Hospital</t>
  </si>
  <si>
    <t>Stanford Hospital &amp; Clinics</t>
  </si>
  <si>
    <t>Loma Linda University Medical Center</t>
  </si>
  <si>
    <t>USC University Hospital- Keck Hospital</t>
  </si>
  <si>
    <t>Centura- Penrose St. Francis Health Services</t>
  </si>
  <si>
    <t>Centura- Porter Adventist Hospital</t>
  </si>
  <si>
    <t>University of Colorado, Denver</t>
  </si>
  <si>
    <t>Presbyterian St Luke's Medical Center</t>
  </si>
  <si>
    <t>Saint Francis Hospital and Medical Center</t>
  </si>
  <si>
    <t>Yale-New Haven Hospital</t>
  </si>
  <si>
    <t>Christiana Care Health System</t>
  </si>
  <si>
    <t>Orlando Health- Dr. P Phillips Hospital</t>
  </si>
  <si>
    <t>Orlando Health- Orlando Regional Medical Center</t>
  </si>
  <si>
    <t>Orlando Health- South Seminole Hospital</t>
  </si>
  <si>
    <t>Memorial Regional Hospital</t>
  </si>
  <si>
    <t>UF Health- Shands Hospital</t>
  </si>
  <si>
    <t>Tampa General Hospital</t>
  </si>
  <si>
    <t>Florida Hospital- Orlando</t>
  </si>
  <si>
    <t>Vein and Vascular Institute of Tampa Bay</t>
  </si>
  <si>
    <t>Coastal Vascular &amp; Interventional, PLLC</t>
  </si>
  <si>
    <t>Palm Beach Gardens Medical Center</t>
  </si>
  <si>
    <t>Exempla- Saint Joseph Medical Center</t>
  </si>
  <si>
    <t>BayCare- St. Anthony's Hospital</t>
  </si>
  <si>
    <t>Northside Hospital Atlanta</t>
  </si>
  <si>
    <t>Northside Hospital Cherokee</t>
  </si>
  <si>
    <t>Redmond Regional Medical Center</t>
  </si>
  <si>
    <t>Northside Hospital Forsyth</t>
  </si>
  <si>
    <t>Memorial Health University Medical Center- SHVI</t>
  </si>
  <si>
    <t>Iowa Heart Center at Mercy Medical Center</t>
  </si>
  <si>
    <t>UnityPoint Health- Des Moines (f/k/a Central IA Health)</t>
  </si>
  <si>
    <t>Rockford Memorial Hospital</t>
  </si>
  <si>
    <t>St. Luke's Healthcare- St. Luke's Regional Medical Center</t>
  </si>
  <si>
    <t>Sentara RMH Medical Center</t>
  </si>
  <si>
    <t>Northwestern Memorial Hospital</t>
  </si>
  <si>
    <t>Saint Alphonsus Regional Medical Center</t>
  </si>
  <si>
    <t>St. Mary's Hospital- Decatur</t>
  </si>
  <si>
    <t>The Practice of Stephen M. Ryan, MD</t>
  </si>
  <si>
    <t>University of Chicago Medical Center</t>
  </si>
  <si>
    <t>Weiss Memorial Hospital</t>
  </si>
  <si>
    <t>UnityPoint Health- Methodist</t>
  </si>
  <si>
    <t>NorthShore University Health- NorthShore Skokie Hospital</t>
  </si>
  <si>
    <t>St. Vincent Hospital &amp; Healthcare Center</t>
  </si>
  <si>
    <t>St. Vincent Heart Center of Indiana, LLC</t>
  </si>
  <si>
    <t>Memorial Hospital of South Bend (IN)</t>
  </si>
  <si>
    <t>St Francis Heart Center</t>
  </si>
  <si>
    <t>Community Hospital Hrt &amp; Vascular</t>
  </si>
  <si>
    <t>Community Hospital East</t>
  </si>
  <si>
    <t>Community Hospital South</t>
  </si>
  <si>
    <t>IU Health- Saxony Hospital</t>
  </si>
  <si>
    <t>IU Health- Methodist Hospital</t>
  </si>
  <si>
    <t>IU Health- Goshen Hospital</t>
  </si>
  <si>
    <t>IU Health- Bloomington Hospital</t>
  </si>
  <si>
    <t>IU Health- Ball Memorial Hospital</t>
  </si>
  <si>
    <t>IU Health- Arnett Hospital</t>
  </si>
  <si>
    <t>SIU School of Medicine, Memorial Medical Center</t>
  </si>
  <si>
    <t>KentuckyOne Health-Jewish Hospital</t>
  </si>
  <si>
    <t>Ochsner Medical Center</t>
  </si>
  <si>
    <t>LSU Health Science Center- Shreveport</t>
  </si>
  <si>
    <t>St. Elizabeth's Medical Center</t>
  </si>
  <si>
    <t>Massachusetts General Hospital</t>
  </si>
  <si>
    <t>Southcoast- Charlton Memorial Hospital</t>
  </si>
  <si>
    <t xml:space="preserve">Southcoast- St. Luke's Hospital </t>
  </si>
  <si>
    <t>Brigham and Woman's Hospital</t>
  </si>
  <si>
    <t>Beth Israel Deaconess Medical Center</t>
  </si>
  <si>
    <t>Tufts Medical Center</t>
  </si>
  <si>
    <t>Berkshire Medical Center</t>
  </si>
  <si>
    <t>UMass Memorial Hospital</t>
  </si>
  <si>
    <t xml:space="preserve">Maryland Vascular Specialist (f/k/a Dr. Samer Saiedy) </t>
  </si>
  <si>
    <t>Mercy Medical Center- Baltimore</t>
  </si>
  <si>
    <t>MaineGeneral Medical Center</t>
  </si>
  <si>
    <t>Central Maine Medical Center</t>
  </si>
  <si>
    <t>Mercy Hospital (ME)</t>
  </si>
  <si>
    <t xml:space="preserve">Vascular Center of Northern Michigan </t>
  </si>
  <si>
    <t>Spectrum Health Hospital</t>
  </si>
  <si>
    <t>Beaumont Royal Oak Hospital</t>
  </si>
  <si>
    <t>Beaumont Troy Hospital</t>
  </si>
  <si>
    <t>Beaumont Grosse Pointe Hospital</t>
  </si>
  <si>
    <t>Mayo Clinic (MN)</t>
  </si>
  <si>
    <t>Fairview Health- Southdale Hospital</t>
  </si>
  <si>
    <t>Fairview Health- University of Minnesota Medical Center</t>
  </si>
  <si>
    <t>University of Missouri Medical Center</t>
  </si>
  <si>
    <t>SSM Healthcare- St. Joseph Health Center</t>
  </si>
  <si>
    <t>University of Mississippi Medical Center</t>
  </si>
  <si>
    <t>St. Vincent Healthcare (MT)</t>
  </si>
  <si>
    <t>Mission Hospital</t>
  </si>
  <si>
    <t>Vidant Medical Center (f/k/a Pitt County/Vidant Health/East Carolina Univ)</t>
  </si>
  <si>
    <t>Carolinas Healthcare- Sanger Heart &amp; Vascular Institute</t>
  </si>
  <si>
    <t>Cone Health Heart &amp; Vascular Center</t>
  </si>
  <si>
    <t>Novant Health- Forsyth Medical Center</t>
  </si>
  <si>
    <t>Novant Health Presbyterian Medical Center</t>
  </si>
  <si>
    <t>Dartmouth Hitchcock Medical Center</t>
  </si>
  <si>
    <t>Heart Hospital of New Mexico at Lovelace Medical Center</t>
  </si>
  <si>
    <t>Presbyterian Hospital (NM)</t>
  </si>
  <si>
    <t>Carson Tahoe Regional Hospital</t>
  </si>
  <si>
    <t>Mount Sinai- Beth Israel Hospital (NY)</t>
  </si>
  <si>
    <t>SUNY Downstate- NYU Langone Medical Center</t>
  </si>
  <si>
    <t>Mount Sinai St. Luke's Roosevelt Hospital &amp; Medical Center</t>
  </si>
  <si>
    <t>Montefiore Medical Center</t>
  </si>
  <si>
    <t>NYP/ Weill-Cornell Medical Center</t>
  </si>
  <si>
    <t>Westchester Medical Center</t>
  </si>
  <si>
    <t>University of Rochester Medical Center- Strong Memorial</t>
  </si>
  <si>
    <t>Catholic Health Kenmore Mercy Hospital</t>
  </si>
  <si>
    <t>Catholic Health Sister of Charity, St. Joseph Campus</t>
  </si>
  <si>
    <t>Catholic Health Mercy Hospital of Buffalo</t>
  </si>
  <si>
    <t>SUNY Upstate- University Hospital Medical Center</t>
  </si>
  <si>
    <t>NSLIJ- Lenox Hill Hospital</t>
  </si>
  <si>
    <t>NSLIJ- North Shore University Hospital</t>
  </si>
  <si>
    <t>NSLIJ- Long Island Jewih Medical Center</t>
  </si>
  <si>
    <t>Maimonides Medical Center</t>
  </si>
  <si>
    <t>The Ohio State University, Wexner Medical Center</t>
  </si>
  <si>
    <t>ProMedica Toledo Hospital, Jobst Vascular</t>
  </si>
  <si>
    <t>Mercy Medical Center (OH)</t>
  </si>
  <si>
    <t>Aultman Hospital</t>
  </si>
  <si>
    <t>Penn State Milton S. Hershey Medical Center</t>
  </si>
  <si>
    <t>Abington Memorial Hospital</t>
  </si>
  <si>
    <t>UPENN- University of Pennsylvania</t>
  </si>
  <si>
    <t>St. Luke's Hospital and Health Network (PA)</t>
  </si>
  <si>
    <t>West Penn- Forbes Regional Hospital</t>
  </si>
  <si>
    <t>West Penn- Allegheny General Hospital</t>
  </si>
  <si>
    <t>West Penn- Allegheny Valley Hospital- Kiske Medical Center</t>
  </si>
  <si>
    <t>UPMC/UPP Vascular Surgery</t>
  </si>
  <si>
    <t>Lifespan- The Miriam Hospital</t>
  </si>
  <si>
    <t>Lifespan- Rhode Island Hospital</t>
  </si>
  <si>
    <t>Roper St. Francis Hospital</t>
  </si>
  <si>
    <t>Regional Medical Center of Orangeburg &amp; Calhoun Co.</t>
  </si>
  <si>
    <t>McLeod Regional Medical Center</t>
  </si>
  <si>
    <t>MUHA- Medical University of South Carolina Hospital</t>
  </si>
  <si>
    <t>Beaufort Memorial Hospital</t>
  </si>
  <si>
    <t>Self Regional Healthcare</t>
  </si>
  <si>
    <t>Sanford Vascular Associates</t>
  </si>
  <si>
    <t>University of Tennessee Medical Center</t>
  </si>
  <si>
    <t>Premier Surgical Associates, PLLC</t>
  </si>
  <si>
    <t>Baptist Memorial Hospital- Memphis</t>
  </si>
  <si>
    <t>Jackson Madison Co. General Hosital- West TN Heart &amp; Vascular</t>
  </si>
  <si>
    <t>John Sealy Hospital, University of Texas Medical Branch</t>
  </si>
  <si>
    <t>Scott &amp; White Memorial Hospital</t>
  </si>
  <si>
    <t>Baylor- The Heart Hospital- Plano</t>
  </si>
  <si>
    <t>Baylor- Jack &amp; Jane Hamilton Heart &amp; Vascular Hospital</t>
  </si>
  <si>
    <t>Texas Health- Presbyterian Hospital Dallas</t>
  </si>
  <si>
    <t>University of Texas Health Science Center, San Antonio</t>
  </si>
  <si>
    <t>CTVS- CardioThoracic Vascular Surgeons (TX)</t>
  </si>
  <si>
    <t xml:space="preserve">St. Mark's Hospital </t>
  </si>
  <si>
    <t>University of Utah Hospital and Clinics</t>
  </si>
  <si>
    <t>Carilion Roanoke Memorial Hospital</t>
  </si>
  <si>
    <t>Inova Heart &amp; Vascular-Alexandria Hospital</t>
  </si>
  <si>
    <t>Inova Heart &amp; Vascular-Mount Vernon Hospital</t>
  </si>
  <si>
    <t>Inova Heart &amp; Vascular-Fairfax Hospital</t>
  </si>
  <si>
    <t>CJW Medical- Chippenham Hospital</t>
  </si>
  <si>
    <t>CJW Medical- Johnston- Willis Hospital</t>
  </si>
  <si>
    <t>Inova Heart &amp; Vascular-Loudon Hospital</t>
  </si>
  <si>
    <t>UVA Medical Center (UVA Health System)</t>
  </si>
  <si>
    <t xml:space="preserve">Sentara Norfolk General Hospital </t>
  </si>
  <si>
    <t>Sentara Williamsburg Regional Medical Center</t>
  </si>
  <si>
    <t>Northwest Hospital &amp; Medical Center</t>
  </si>
  <si>
    <t>Aurora Medical Center of Grafton</t>
  </si>
  <si>
    <t>Providence Sacred Heart Medical Center</t>
  </si>
  <si>
    <t>Aurora Medical Center in Washington County</t>
  </si>
  <si>
    <t>Aurora Medical Center in Kenosha</t>
  </si>
  <si>
    <t>Froedtert Health- Froedtert Memorial Lutheran Hospital</t>
  </si>
  <si>
    <t>Aurora Medical Center of Oshkosh</t>
  </si>
  <si>
    <t>St. Mary's Medical Center (WV)</t>
  </si>
  <si>
    <t>Houston Methodist St. John Hospital- Clear Lake (f/k/a CHRISTUS St. John Hosp)</t>
  </si>
  <si>
    <t>Memorial Hermann Southwest Hospital</t>
  </si>
  <si>
    <t>The Methodist Hospital System, Texas Medical Center, Houston</t>
  </si>
  <si>
    <t>Memorial Hermann Heart &amp; Vascular Institute- Texas Medical Center</t>
  </si>
  <si>
    <t>Cooper University Hospital</t>
  </si>
  <si>
    <t>Owensboro Health</t>
  </si>
  <si>
    <t>Baptist Health Madisonvelle</t>
  </si>
  <si>
    <t>Medical Faculty Associates</t>
  </si>
  <si>
    <t>DC</t>
  </si>
  <si>
    <t>Kaleida Health- Buffalo General Hospital</t>
  </si>
  <si>
    <t>Emory Healthcare</t>
  </si>
  <si>
    <t>Reading Hospital and Medical Center, The</t>
  </si>
  <si>
    <t>Sarasota Memorial Health System</t>
  </si>
  <si>
    <t>Vascular Care Partners</t>
  </si>
  <si>
    <t>Ohio Health-Riverside Methodist Hosp</t>
  </si>
  <si>
    <t>Ohio Health-Grant Medical Center</t>
  </si>
  <si>
    <t>Ohio Health-Doctors Hospital</t>
  </si>
  <si>
    <t>Ohio Health-Marion General Hosp</t>
  </si>
  <si>
    <t>Ohio Health-Grady Memorial Hosp</t>
  </si>
  <si>
    <t>Ohio Health- Dublin Methodist Hosp</t>
  </si>
  <si>
    <t>Hoenig Vascular Center</t>
  </si>
  <si>
    <t>Johns Hopkins Hospital</t>
  </si>
  <si>
    <t>Spartenburg Regional Medical Center</t>
  </si>
  <si>
    <t>Heart Hospital Baylor Denton</t>
  </si>
  <si>
    <t>Oregon Health &amp; Science Univ</t>
  </si>
  <si>
    <t>Sharp Chula Vista Med Ctr</t>
  </si>
  <si>
    <t>Saint Joseph Regional Medical Center</t>
  </si>
  <si>
    <t xml:space="preserve">Wake Forest Baptist Med </t>
  </si>
  <si>
    <t>CHI Health- Nebraska Heart Hospital</t>
  </si>
  <si>
    <t>Memorial Hospital Centeral- UCHA</t>
  </si>
  <si>
    <t>Hoag Memorial Hosp Presbyterian</t>
  </si>
  <si>
    <t>University of California San Francisco</t>
  </si>
  <si>
    <t>Camden Clark Med Ctr</t>
  </si>
  <si>
    <t>SSM Healthcare- St. Mary's Health</t>
  </si>
  <si>
    <t>SSM Healthcare- DePaul Health</t>
  </si>
  <si>
    <t>SSM Healthcare- St. Clare's Health</t>
  </si>
  <si>
    <t>New</t>
  </si>
  <si>
    <t>Detriot Med Ctr- Harper</t>
  </si>
  <si>
    <t>NSLIJ-Staten Island Univ Hosp North</t>
  </si>
  <si>
    <t>who</t>
  </si>
  <si>
    <t>CLOSED CONTRACTS</t>
  </si>
  <si>
    <t>Ks SENT</t>
  </si>
  <si>
    <t>Ks RECEIVED</t>
  </si>
  <si>
    <t>DAYS in Contracting</t>
  </si>
  <si>
    <t>DM Recur</t>
  </si>
  <si>
    <t>New/Upsell</t>
  </si>
  <si>
    <r>
      <t xml:space="preserve"># </t>
    </r>
    <r>
      <rPr>
        <b/>
        <sz val="10"/>
        <color theme="1"/>
        <rFont val="Book Antiqua"/>
        <family val="1"/>
      </rPr>
      <t>Registries</t>
    </r>
    <r>
      <rPr>
        <b/>
        <sz val="11"/>
        <color theme="1"/>
        <rFont val="Book Antiqua"/>
        <family val="1"/>
      </rPr>
      <t xml:space="preserve"> Per K</t>
    </r>
  </si>
  <si>
    <t>FF/Vol?</t>
  </si>
  <si>
    <t>October</t>
  </si>
  <si>
    <t>Won- October effective date</t>
  </si>
  <si>
    <t>Kennedy</t>
  </si>
  <si>
    <t>Piedmont</t>
  </si>
  <si>
    <t>Wiell Cornell Medical College</t>
  </si>
  <si>
    <t>Won- October effective date (upsell)</t>
  </si>
  <si>
    <t>Baptist Miami</t>
  </si>
  <si>
    <t>Total October Recurring Revenue</t>
  </si>
  <si>
    <t>November</t>
  </si>
  <si>
    <t>Mercy Baltimore</t>
  </si>
  <si>
    <t>Won- November effective date</t>
  </si>
  <si>
    <t>Stong Memorial (URMC)</t>
  </si>
  <si>
    <t>Won- November effective date (upsell)</t>
  </si>
  <si>
    <t>University of Chicago</t>
  </si>
  <si>
    <t>Presbyterian/ St. Lukes</t>
  </si>
  <si>
    <t>Trident (HCA)</t>
  </si>
  <si>
    <t>St. Agnes</t>
  </si>
  <si>
    <t>Baycare (St. Anthony's)</t>
  </si>
  <si>
    <t>Total November Recurring Revenue</t>
  </si>
  <si>
    <t>December</t>
  </si>
  <si>
    <t>UPMC</t>
  </si>
  <si>
    <t>Won in October- December effective date</t>
  </si>
  <si>
    <t>LIJ (3)</t>
  </si>
  <si>
    <t>Won- December</t>
  </si>
  <si>
    <t>Memorial Hospital of Sounth Bend</t>
  </si>
  <si>
    <t>Providence St. Joseph Med Ctr</t>
  </si>
  <si>
    <t>Beaumont Health System (3)</t>
  </si>
  <si>
    <t>Northwest Hospital</t>
  </si>
  <si>
    <t>Unity Point Health - Methodist</t>
  </si>
  <si>
    <t>NorthShore Skokie Hospital</t>
  </si>
  <si>
    <t>Franciscan St. Francis Health</t>
  </si>
  <si>
    <t>Kentucky One (Jewish Hospital)</t>
  </si>
  <si>
    <t>Total December Recurring Revenue</t>
  </si>
  <si>
    <t>Total Recurring Revenue Booked Q4</t>
  </si>
  <si>
    <t>JANUARY</t>
  </si>
  <si>
    <t>New- VQI</t>
  </si>
  <si>
    <t>Memorial Herman Houston</t>
  </si>
  <si>
    <t>Ups- Add TEVAR</t>
  </si>
  <si>
    <t>Exempla St. Joseph</t>
  </si>
  <si>
    <t>Sharp Grossmont</t>
  </si>
  <si>
    <t>Ups- Add IVC</t>
  </si>
  <si>
    <t>Self Regional</t>
  </si>
  <si>
    <t>Ups- Add LEB &amp; IVC</t>
  </si>
  <si>
    <t>Community Health Network (3)</t>
  </si>
  <si>
    <t>Sentara Health System (7)</t>
  </si>
  <si>
    <t>Ups- Add IVC &amp; LEA</t>
  </si>
  <si>
    <t>IU Health - Arnett</t>
  </si>
  <si>
    <t>Froedtert Health</t>
  </si>
  <si>
    <t>SIU School of Medicine</t>
  </si>
  <si>
    <t>Jobst Vascular Institute</t>
  </si>
  <si>
    <t>Ups- Add EVAR &amp; Open AAA</t>
  </si>
  <si>
    <t>Aurora Healthcare System (13)</t>
  </si>
  <si>
    <t>Ups- Add LEA</t>
  </si>
  <si>
    <t>Total January Recurring Revenue</t>
  </si>
  <si>
    <t>Goal (all recurring revenue)</t>
  </si>
  <si>
    <t>Variance</t>
  </si>
  <si>
    <t>Average Days to Close - All (3 Mo. Avg)</t>
  </si>
  <si>
    <r>
      <t xml:space="preserve">Average Days to Close -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Only (3 Mo. Avg)</t>
    </r>
  </si>
  <si>
    <t>FEBRUARY</t>
  </si>
  <si>
    <t>Ups- Add CAS</t>
  </si>
  <si>
    <t>Allina Health(3) (Abbott NW, Mercy, United)</t>
  </si>
  <si>
    <t>Danbury Hospital (WCHn)</t>
  </si>
  <si>
    <t>Ups- Add DI</t>
  </si>
  <si>
    <t>Ups- Add OpenAAA</t>
  </si>
  <si>
    <t>Cardiothoracic &amp; Vascular Surgeons (TX)</t>
  </si>
  <si>
    <t>Ups- Add EVAR</t>
  </si>
  <si>
    <t>Loma Linda Univ Med Ctr</t>
  </si>
  <si>
    <t>The Ohio State University</t>
  </si>
  <si>
    <t>Ups- Add LEA &amp; IVC</t>
  </si>
  <si>
    <t>Ups- Add HDA</t>
  </si>
  <si>
    <t>Total February Recurring Revenue</t>
  </si>
  <si>
    <t>Total YTD Recurring Revenue</t>
  </si>
  <si>
    <t>Total YTD Goal</t>
  </si>
  <si>
    <t>YTD Variance</t>
  </si>
  <si>
    <t>MARCH</t>
  </si>
  <si>
    <r>
      <t>Add New Hosp</t>
    </r>
    <r>
      <rPr>
        <b/>
        <sz val="9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VQI</t>
    </r>
  </si>
  <si>
    <t>Add New Hosp- VQI</t>
  </si>
  <si>
    <t>NYU Langone Med Ctr</t>
  </si>
  <si>
    <t xml:space="preserve">Ups- Add IVC </t>
  </si>
  <si>
    <t>St. Mark's Hospital (HCA)</t>
  </si>
  <si>
    <t>NS-LIJ (3) Hosps (17% disc)</t>
  </si>
  <si>
    <t>Add LEA &amp; IVC</t>
  </si>
  <si>
    <t>NS-LIJ (3) Hosps</t>
  </si>
  <si>
    <t>DI- begin</t>
  </si>
  <si>
    <t>Total March Recurring Revenue</t>
  </si>
  <si>
    <t>APRIL</t>
  </si>
  <si>
    <t>Tallahassee Memorial Hospital</t>
  </si>
  <si>
    <t>Maimonides Med Ctr</t>
  </si>
  <si>
    <t>Memorial Health University Med Ctr</t>
  </si>
  <si>
    <t>Total April Recurring Revenue</t>
  </si>
  <si>
    <t>Average Days to Close - New Only (3 Mo. Avg)</t>
  </si>
  <si>
    <t>MAY</t>
  </si>
  <si>
    <r>
      <t>Centura- Penrose St. Francis  (</t>
    </r>
    <r>
      <rPr>
        <sz val="10"/>
        <rFont val="Calibri"/>
        <family val="2"/>
        <scheme val="minor"/>
      </rPr>
      <t>10% disc</t>
    </r>
    <r>
      <rPr>
        <sz val="11"/>
        <rFont val="Calibri"/>
        <family val="2"/>
        <scheme val="minor"/>
      </rPr>
      <t>)</t>
    </r>
  </si>
  <si>
    <t>Baptist Health- Madisonville, KY- Jack L. Hamman Hrt &amp; Vascular Inst.</t>
  </si>
  <si>
    <t>NEW- VQI</t>
  </si>
  <si>
    <t>MFA- Medical Faculty Associates</t>
  </si>
  <si>
    <t>Total May Recurring Revenue</t>
  </si>
  <si>
    <t>JUNE</t>
  </si>
  <si>
    <t>SUNY Upstate</t>
  </si>
  <si>
    <t>Ups- Add PVI</t>
  </si>
  <si>
    <t>Sarasota Mem Hosp. (FL)</t>
  </si>
  <si>
    <t>VCP- Vascular Care Partners (MA)</t>
  </si>
  <si>
    <t>Beaumont Hospital, Troy Campus</t>
  </si>
  <si>
    <t>OhioHealth Corp (OH) (6 hosps)</t>
  </si>
  <si>
    <t>6 NEW- VQI</t>
  </si>
  <si>
    <t>MR/DM</t>
  </si>
  <si>
    <t>Inova</t>
  </si>
  <si>
    <t>Ups- Start DI</t>
  </si>
  <si>
    <t>Mount Sinai Beth Israel Hospital</t>
  </si>
  <si>
    <t>Total June Recurring Revenue</t>
  </si>
  <si>
    <t>JULY</t>
  </si>
  <si>
    <t>UnityPoint Health- Methodist (IL)</t>
  </si>
  <si>
    <t>FE in Dec. 2013</t>
  </si>
  <si>
    <t>IU Health Goshen</t>
  </si>
  <si>
    <t>Ups- Add CEA</t>
  </si>
  <si>
    <t>Allina (3): Abbott NW, Mercy &amp; United</t>
  </si>
  <si>
    <t>Cadence- Central DuPage</t>
  </si>
  <si>
    <t>Cadence- Central DuPage (10%)</t>
  </si>
  <si>
    <t>Ups- Add IVC Filter</t>
  </si>
  <si>
    <t>VOL</t>
  </si>
  <si>
    <t>Univ of Chicago</t>
  </si>
  <si>
    <t>Ups- Add  LEA</t>
  </si>
  <si>
    <t>SIU</t>
  </si>
  <si>
    <t>Memorial Hermann SW Hospital</t>
  </si>
  <si>
    <t>Centura Health- Penrose St. Francis</t>
  </si>
  <si>
    <t>Total July Recurring Revenue</t>
  </si>
  <si>
    <t>AUGUST</t>
  </si>
  <si>
    <t>Spartanburg Reg Health Svcs District</t>
  </si>
  <si>
    <t>The Heart Hosp Denton- Baylor</t>
  </si>
  <si>
    <t>FF</t>
  </si>
  <si>
    <t>OHSU- Oregon Health &amp; Sciences Univ</t>
  </si>
  <si>
    <t>St. Luke's Hospital (MO)</t>
  </si>
  <si>
    <t>Ups- Add EVAR, TEVAR, OpenAAA, HDA, PVI, LEB (6)</t>
  </si>
  <si>
    <t>Total August Recurring Revenue</t>
  </si>
  <si>
    <t>(LEB)= INFRA&amp;SUPRA COMBO, whether vol or flat fee</t>
  </si>
  <si>
    <t>SEPTEMBER</t>
  </si>
  <si>
    <t>Sharp Chula Vista Medical Center</t>
  </si>
  <si>
    <t>NEW- VQI w/ DI</t>
  </si>
  <si>
    <t>8 (LEB)</t>
  </si>
  <si>
    <t xml:space="preserve">Wake Forest Baptist Health </t>
  </si>
  <si>
    <t>4 (LEB)</t>
  </si>
  <si>
    <t>Memorial Hospital Central</t>
  </si>
  <si>
    <t>7 (LEB)</t>
  </si>
  <si>
    <t>Hoag Memorial Presbyterian Hospital</t>
  </si>
  <si>
    <t>10 (LEB)</t>
  </si>
  <si>
    <t>Univ MD Med Ctr</t>
  </si>
  <si>
    <t>Ups- Add TEVAR, EVAR, oAAA</t>
  </si>
  <si>
    <t>Camden Clark (WV)</t>
  </si>
  <si>
    <t>Westchester Med Ctr</t>
  </si>
  <si>
    <r>
      <rPr>
        <sz val="10"/>
        <color theme="1"/>
        <rFont val="Calibri"/>
        <family val="2"/>
        <scheme val="minor"/>
      </rPr>
      <t>Ups- Add TEVAR</t>
    </r>
    <r>
      <rPr>
        <sz val="11"/>
        <color theme="1"/>
        <rFont val="Calibri"/>
        <family val="2"/>
        <scheme val="minor"/>
      </rPr>
      <t>(</t>
    </r>
    <r>
      <rPr>
        <sz val="9"/>
        <color theme="1"/>
        <rFont val="Calibri"/>
        <family val="2"/>
        <scheme val="minor"/>
      </rPr>
      <t>1yr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prj</t>
    </r>
    <r>
      <rPr>
        <sz val="11"/>
        <color theme="1"/>
        <rFont val="Calibri"/>
        <family val="2"/>
        <scheme val="minor"/>
      </rPr>
      <t>)</t>
    </r>
  </si>
  <si>
    <t>Univ of California San Francisco</t>
  </si>
  <si>
    <t>SSM St. Mary's; SSM DePaul; SSM St. Clare</t>
  </si>
  <si>
    <t>Add 3 new hosp- NEW VQI</t>
  </si>
  <si>
    <t>Total September Recurring Revenue</t>
  </si>
  <si>
    <t>OCTOBER</t>
  </si>
  <si>
    <t>Mayo Clinic</t>
  </si>
  <si>
    <t xml:space="preserve">Sanford Health </t>
  </si>
  <si>
    <t>UTMC- Univ of Toledo Med Ctr</t>
  </si>
  <si>
    <t>5 (LEB)</t>
  </si>
  <si>
    <r>
      <t>NSLIJ- Staten Island (</t>
    </r>
    <r>
      <rPr>
        <sz val="9"/>
        <rFont val="Calibri"/>
        <family val="2"/>
        <scheme val="minor"/>
      </rPr>
      <t>North Site</t>
    </r>
    <r>
      <rPr>
        <sz val="11"/>
        <rFont val="Calibri"/>
        <family val="2"/>
        <scheme val="minor"/>
      </rPr>
      <t>)</t>
    </r>
  </si>
  <si>
    <t>DMC- Harper University Hospital</t>
  </si>
  <si>
    <t>NOVEMBER</t>
  </si>
  <si>
    <t>OhioHealth- Marion General Hospital</t>
  </si>
  <si>
    <t>paid for 2nd DI file</t>
  </si>
  <si>
    <t>-</t>
  </si>
  <si>
    <t>Texas Health Presbyterian</t>
  </si>
  <si>
    <t>add CEA and CAS</t>
  </si>
  <si>
    <t>DECEMBER</t>
  </si>
  <si>
    <t>Nashville Vascular &amp; Vein Institute</t>
  </si>
  <si>
    <t>NEW VQI</t>
  </si>
  <si>
    <t>Exempla- Saint Joseph</t>
  </si>
  <si>
    <t>DATE</t>
  </si>
  <si>
    <t>Facility</t>
  </si>
  <si>
    <t>Action</t>
  </si>
  <si>
    <t>Offsets ?</t>
  </si>
  <si>
    <t>Amount Lost $</t>
  </si>
  <si>
    <t>Offsets $</t>
  </si>
  <si>
    <t xml:space="preserve">Total $ Lost </t>
  </si>
  <si>
    <t>email</t>
  </si>
  <si>
    <t>Johns Hopkins Hosp</t>
  </si>
  <si>
    <t>Drop HDA @ Renewal time (no documentation)</t>
  </si>
  <si>
    <t>Drop DI</t>
  </si>
  <si>
    <r>
      <t xml:space="preserve">signed DI at time of K; changed mind- wanted refund: </t>
    </r>
    <r>
      <rPr>
        <i/>
        <sz val="11"/>
        <color rgb="FF002060"/>
        <rFont val="Calibri"/>
        <family val="2"/>
        <scheme val="minor"/>
      </rPr>
      <t>6.5.14: sent amdt for dropped DI</t>
    </r>
  </si>
  <si>
    <t>Total January Loss Revenue</t>
  </si>
  <si>
    <t>Total Revenue Loss (YTD)</t>
  </si>
  <si>
    <t>Toronto General Hospital</t>
  </si>
  <si>
    <t>Drop CAS (1300) at time we revised original Ks</t>
  </si>
  <si>
    <t>Add TEVAR (1800)</t>
  </si>
  <si>
    <t>email 2/21/14</t>
  </si>
  <si>
    <t>Kaleida Health</t>
  </si>
  <si>
    <t>Drop DI-- email (in U20)</t>
  </si>
  <si>
    <t>signed DI at time of K; changed mind- wanted refund</t>
  </si>
  <si>
    <t>The Ohio State- Wexner Med Ctr</t>
  </si>
  <si>
    <t>Drop HDA</t>
  </si>
  <si>
    <t>Add LEA &amp; IVC $2340 recur</t>
  </si>
  <si>
    <t>Total February Loss Revenue</t>
  </si>
  <si>
    <t xml:space="preserve"> 05/06/14</t>
  </si>
  <si>
    <t>Westchester</t>
  </si>
  <si>
    <t>Drop TEVAR (1300)-- switch from vol to FF @ time of renewal</t>
  </si>
  <si>
    <r>
      <rPr>
        <b/>
        <sz val="11"/>
        <color rgb="FF002060"/>
        <rFont val="Calibri"/>
        <family val="2"/>
        <scheme val="minor"/>
      </rPr>
      <t xml:space="preserve">Add EVAR (1550) </t>
    </r>
    <r>
      <rPr>
        <b/>
        <sz val="11"/>
        <color theme="4" tint="-0.499984740745262"/>
        <rFont val="Calibri"/>
        <family val="2"/>
        <scheme val="minor"/>
      </rPr>
      <t xml:space="preserve">                   </t>
    </r>
    <r>
      <rPr>
        <b/>
        <i/>
        <sz val="11"/>
        <color rgb="FFC00000"/>
        <rFont val="Calibri"/>
        <family val="2"/>
        <scheme val="minor"/>
      </rPr>
      <t>Admt EFFECTIVE 12.20.13</t>
    </r>
  </si>
  <si>
    <t>Stafford Hospital</t>
  </si>
  <si>
    <t>Drop PVI @ Mary Washington HC</t>
  </si>
  <si>
    <t>Result= Stafford Hosp drop, no pros</t>
  </si>
  <si>
    <t>Mary Washington Hosp</t>
  </si>
  <si>
    <t>Drop in volume</t>
  </si>
  <si>
    <t xml:space="preserve">Drop EVAR, Open AAA, TEVAR, Bypass(2); 5.15.14: sent f/u email  </t>
  </si>
  <si>
    <t>Keep CEA (vol 103) new price</t>
  </si>
  <si>
    <t>nvr pd- email</t>
  </si>
  <si>
    <t>Mercy Baltimore (MD)</t>
  </si>
  <si>
    <t>Did not mean to sign EXH D- DI</t>
  </si>
  <si>
    <t>Baylor Hrt Hosp- Plano (TX)</t>
  </si>
  <si>
    <t xml:space="preserve">Drop HDA @ time of renewal </t>
  </si>
  <si>
    <t>Mt. Sinai St. Luke's/Roosevelt Hosp</t>
  </si>
  <si>
    <r>
      <rPr>
        <b/>
        <sz val="11"/>
        <color rgb="FF002060"/>
        <rFont val="Calibri"/>
        <family val="2"/>
        <scheme val="minor"/>
      </rPr>
      <t>Switch</t>
    </r>
    <r>
      <rPr>
        <sz val="11"/>
        <color rgb="FF002060"/>
        <rFont val="Calibri"/>
        <family val="2"/>
        <scheme val="minor"/>
      </rPr>
      <t xml:space="preserve"> Ks to Flat Fee $$; Drop OpenAAA, TEVAR &amp; HDA @ time of renewal 2014-2015</t>
    </r>
  </si>
  <si>
    <r>
      <t xml:space="preserve">switched to flat fee K on remaining </t>
    </r>
    <r>
      <rPr>
        <b/>
        <sz val="11"/>
        <color rgb="FF002060"/>
        <rFont val="Calibri"/>
        <family val="2"/>
        <scheme val="minor"/>
      </rPr>
      <t>4</t>
    </r>
    <r>
      <rPr>
        <sz val="11"/>
        <color rgb="FF002060"/>
        <rFont val="Calibri"/>
        <family val="2"/>
        <scheme val="minor"/>
      </rPr>
      <t xml:space="preserve"> forms; (drop: OpenAAA,TEVAR,HDA)</t>
    </r>
  </si>
  <si>
    <t>Total March Loss Revenue</t>
  </si>
  <si>
    <t>Memorial Regional Hospital (FL)</t>
  </si>
  <si>
    <t>Drop DI @ time of renewal</t>
  </si>
  <si>
    <t>sent amdt 5/2/14 to Merri, cc Tim &amp; Kristie</t>
  </si>
  <si>
    <t>Total April Loss Revenue</t>
  </si>
  <si>
    <t>OSF- St. Mary's Hospital (IL)</t>
  </si>
  <si>
    <t>Drop St. Mary's @ time of renewal; retain other OSF facilities; f/u w/ Angie- Alex to get docs to supply chain signatory wk of 06.02-06.06)</t>
  </si>
  <si>
    <t xml:space="preserve">OSF kept three (3) other facilities </t>
  </si>
  <si>
    <t>LSU Health- Shreveport</t>
  </si>
  <si>
    <t>Inova- Gainesville Hospital (VA)</t>
  </si>
  <si>
    <t>Drop HDA (vol 61+)  @ time of june 2014-2015 renewal</t>
  </si>
  <si>
    <t>Inova ready to begin DI as health system- one setup fee of $2800 &amp; one fee of $2200 (1st yr $5000/recur $2200)</t>
  </si>
  <si>
    <t>Bap Health Madisonville- Jack Hamman Hrt &amp; Vas Inst. (KY)</t>
  </si>
  <si>
    <t>accidental sign DI- caught- no $ loss</t>
  </si>
  <si>
    <t>Total May Loss Revenue</t>
  </si>
  <si>
    <t>Carroll Hospital (MD)</t>
  </si>
  <si>
    <t>6.6.14: sent amdt-Laura Hooper</t>
  </si>
  <si>
    <t>Total June Loss Revenue</t>
  </si>
  <si>
    <t>Drop HDA &amp; PVI (may renewal)</t>
  </si>
  <si>
    <t>FE Ks eff 5/17/14</t>
  </si>
  <si>
    <t>Total July Loss Revenue</t>
  </si>
  <si>
    <t>IA Hrt A Mercy Medical Ctr</t>
  </si>
  <si>
    <t>8.15.14: sent Ks w/renewal invoices</t>
  </si>
  <si>
    <t>Total August Loss Revenue</t>
  </si>
  <si>
    <t>Memorial Hosp of South Bend</t>
  </si>
  <si>
    <t>Drop DI @ time of Dec 2014 renewal</t>
  </si>
  <si>
    <t>9.5.14: sent 1st amdt to drop DI to Joyce</t>
  </si>
  <si>
    <t>10/29/14- effective 1/1/15</t>
  </si>
  <si>
    <t>Drop TEVAR(-840), Add EVAR(+1890), Drop Supra(-2415), Keep Infra (+2415)= Total Drop $3255; Total Add/Keep $4305-Amending Ks at time of renewal (1/1/15)</t>
  </si>
  <si>
    <t>9/30: Spoke to Dawn on phone, wanted to confirm the approx increase amount- getting amendments signed this wk or next; 9.16.14: sent to Allison Spain &amp; Dawn Factor</t>
  </si>
  <si>
    <t>Total September Loss Revenue</t>
  </si>
  <si>
    <t>Emory clinc &amp; st. joes merged- now known as Emory HC in VQI; switch to flat fee &amp; decided to Drop HDA- never entered data says Emory..may add back on at later date- also wants set-up fee refund for St. joe's</t>
  </si>
  <si>
    <t>10/2: Kristie &amp; I spoke to Sarah on phone, received confirmation of HDA drop; revised amdts sent back to Sarah effective for their JUNE 2014 renewal date</t>
  </si>
  <si>
    <t>Total October Loss Revenue</t>
  </si>
  <si>
    <t>Total November Loss Revenue</t>
  </si>
  <si>
    <t>Carilion Roanoke Memorial- EVAR &amp; Open</t>
  </si>
  <si>
    <t>Baylor Scott &amp; White- Add VV</t>
  </si>
  <si>
    <t>Grady Memorial Hospital- GA</t>
  </si>
  <si>
    <t>KUMC- Univ of KS Med Ctr- KS</t>
  </si>
  <si>
    <t>Miami Vein Clinic, FL</t>
  </si>
  <si>
    <t>Altru Hospital- ND</t>
  </si>
  <si>
    <t>Cadence Health-central Dupage Hospital (IL)</t>
  </si>
  <si>
    <t>Mercy Hospital St. Louis- MO</t>
  </si>
  <si>
    <t>MetroHealth Medical Center- OH</t>
  </si>
  <si>
    <t>Mount Carmel East- OH</t>
  </si>
  <si>
    <t>Mount Carmel St. Ann's- OH</t>
  </si>
  <si>
    <t>Mount Carmel West- OH</t>
  </si>
  <si>
    <t>WPAHS- Jefferson Hospital(PA)</t>
  </si>
  <si>
    <t>University of Michigan - Add VV</t>
  </si>
  <si>
    <t>Thomas Jefferson</t>
  </si>
  <si>
    <t>Hamilton Medical Center</t>
  </si>
  <si>
    <t>Bassett</t>
  </si>
  <si>
    <t>Baycare - Morton Plant Hospital</t>
  </si>
  <si>
    <t>Alegent Bergan Mercy</t>
  </si>
  <si>
    <t>Baycare - Mease Countryside Hospital</t>
  </si>
  <si>
    <t>Baycare - Morton Plant North Bay</t>
  </si>
  <si>
    <t>William D Suval</t>
  </si>
  <si>
    <t>Augusta Vascular Center</t>
  </si>
  <si>
    <t>Lake Martin</t>
  </si>
  <si>
    <t>Mary Washington - Stafford Hospital</t>
  </si>
  <si>
    <t>Redwood Regional Medical Group</t>
  </si>
  <si>
    <t># Registries Lost</t>
  </si>
  <si>
    <t>Recurring Revenue Lost</t>
  </si>
  <si>
    <t>Terminated Date</t>
  </si>
  <si>
    <t>The Medical Group of Saint Joseph's (Emory)</t>
  </si>
  <si>
    <t>Mount Carmel  St Ann's Hosp</t>
  </si>
  <si>
    <t>Mount Carmel East Hospital</t>
  </si>
  <si>
    <t>Mount Carmel West Hospital</t>
  </si>
  <si>
    <t>UFL- Shands Hospital - Gainsville</t>
  </si>
  <si>
    <t>CEA</t>
  </si>
  <si>
    <t>EVAR</t>
  </si>
  <si>
    <t>OPEN AAA</t>
  </si>
  <si>
    <t>PVI</t>
  </si>
  <si>
    <t>TEVAR</t>
  </si>
  <si>
    <t>LEA</t>
  </si>
  <si>
    <t>IVC</t>
  </si>
  <si>
    <t>VV</t>
  </si>
  <si>
    <t>AIS</t>
  </si>
  <si>
    <t>HDA</t>
  </si>
  <si>
    <t>add IVC and VV</t>
  </si>
  <si>
    <t>Tampa Cardiovascular Associates</t>
  </si>
  <si>
    <t>Upsell- Add TEVAR</t>
  </si>
  <si>
    <t>REGIONAL GROUP NAME</t>
  </si>
  <si>
    <t>STATE</t>
  </si>
  <si>
    <t>CITY</t>
  </si>
  <si>
    <t>HEALTH SYSTEM(s)</t>
  </si>
  <si>
    <t>CENTER</t>
  </si>
  <si>
    <t>CAROLINAS VASCULAR QUALITY GROUP (CVQG)</t>
  </si>
  <si>
    <t>Asheville</t>
  </si>
  <si>
    <t>Mission Health System</t>
  </si>
  <si>
    <t>Burlington</t>
  </si>
  <si>
    <t>Cone Health System; Carolinas Healthcare</t>
  </si>
  <si>
    <t>Chapel Hill</t>
  </si>
  <si>
    <t>UNC Health Care</t>
  </si>
  <si>
    <t>University of North Carolina Hospitals</t>
  </si>
  <si>
    <t>Charlotte</t>
  </si>
  <si>
    <t>Carolinas Healthcare System</t>
  </si>
  <si>
    <t>Carolinas Healthcare System- Sanger Heart &amp; Vascular Institute</t>
  </si>
  <si>
    <t>Novant Health</t>
  </si>
  <si>
    <t xml:space="preserve">Greensboro </t>
  </si>
  <si>
    <t>Greenville</t>
  </si>
  <si>
    <t>Vidant Health</t>
  </si>
  <si>
    <t>Vidant Medical Center (f/k/a Pitt County Memorial Hosp)</t>
  </si>
  <si>
    <t>Winston- Salem</t>
  </si>
  <si>
    <t>Novant Health Forsyth Medical Center</t>
  </si>
  <si>
    <t>Wake Forest Baptist Health</t>
  </si>
  <si>
    <t>Charleston</t>
  </si>
  <si>
    <t>Medical University of South Carolina Hospital</t>
  </si>
  <si>
    <t>Roper St. Francis Healthcare;  Carolinas Healthcare System</t>
  </si>
  <si>
    <t xml:space="preserve">HCA South Atlantic Health System- HCA </t>
  </si>
  <si>
    <t xml:space="preserve">Columbia </t>
  </si>
  <si>
    <t>Palmetto Health</t>
  </si>
  <si>
    <t xml:space="preserve">Florence </t>
  </si>
  <si>
    <t>Greenwood</t>
  </si>
  <si>
    <t>Orangeburg</t>
  </si>
  <si>
    <t>trmc health</t>
  </si>
  <si>
    <t>Regional Medical Center of Orangeburg &amp; Calhoun Co</t>
  </si>
  <si>
    <t>Spartanburg</t>
  </si>
  <si>
    <t>Spartanburg Regional Health Services District, Inc.</t>
  </si>
  <si>
    <t>Washington</t>
  </si>
  <si>
    <t>MedStar Health</t>
  </si>
  <si>
    <t>Baltimore</t>
  </si>
  <si>
    <t>Johns Hopkins Health System (JHHS)</t>
  </si>
  <si>
    <t>Johns Hopkins Bayview Medical Center</t>
  </si>
  <si>
    <t xml:space="preserve">Ascenscion Health </t>
  </si>
  <si>
    <t>The Johns Hopkins Hospital</t>
  </si>
  <si>
    <t>University of Maryland Medical System (UMMS)</t>
  </si>
  <si>
    <t xml:space="preserve">University of Maryland Medical Center </t>
  </si>
  <si>
    <t>Gainesville</t>
  </si>
  <si>
    <t>UF Health</t>
  </si>
  <si>
    <t>Hollywood</t>
  </si>
  <si>
    <t>Memorial Healthcare System</t>
  </si>
  <si>
    <t>Longwood</t>
  </si>
  <si>
    <t>Orlando Health</t>
  </si>
  <si>
    <t>Miami</t>
  </si>
  <si>
    <t>Orlando</t>
  </si>
  <si>
    <t>Orlando Health- Dr. P. Phillips Hospital</t>
  </si>
  <si>
    <t>Pensacola</t>
  </si>
  <si>
    <t>Sarasota</t>
  </si>
  <si>
    <t>Sarasota Memorial Hospital</t>
  </si>
  <si>
    <t>St. Petersburg</t>
  </si>
  <si>
    <t>BayCare Health; CHE Trinty Health</t>
  </si>
  <si>
    <t>Tampa Bay</t>
  </si>
  <si>
    <t>The Vein and Vascular Institute of Tampa Bay</t>
  </si>
  <si>
    <t>Albany</t>
  </si>
  <si>
    <t>Albany Vascular Specialist Center</t>
  </si>
  <si>
    <t>Atlanta</t>
  </si>
  <si>
    <t>Northside Hospital Health System</t>
  </si>
  <si>
    <t>Piedmont Healthcare</t>
  </si>
  <si>
    <t>Canton</t>
  </si>
  <si>
    <t>Forsyth</t>
  </si>
  <si>
    <t>Rome</t>
  </si>
  <si>
    <t>Floyd Health Care System</t>
  </si>
  <si>
    <t>Savannah</t>
  </si>
  <si>
    <t>The Practice of John F Lucas III, M.D.</t>
  </si>
  <si>
    <t>GREAT LAKES VASCULAR STUDY GROUP (GLVSG)</t>
  </si>
  <si>
    <t>Sisters of Charity Health System</t>
  </si>
  <si>
    <t>Cleveland</t>
  </si>
  <si>
    <t xml:space="preserve">Cleveland Clinic </t>
  </si>
  <si>
    <t>Cleveland Clinic, Heart and Vascular Insitute</t>
  </si>
  <si>
    <t>ProMedica Health</t>
  </si>
  <si>
    <t>Columbus</t>
  </si>
  <si>
    <t>OhioHealth Doctors Hospital</t>
  </si>
  <si>
    <t>OhioHealth Grant Medical Center</t>
  </si>
  <si>
    <t>OhioHealth Riverside Methodist Hospital</t>
  </si>
  <si>
    <t>The OSU Health System</t>
  </si>
  <si>
    <t>Delaware</t>
  </si>
  <si>
    <t>OhioHealth Grady Memorial Hospital</t>
  </si>
  <si>
    <t>Dublin</t>
  </si>
  <si>
    <t>OhioHealth Dublin Methodist Hospital</t>
  </si>
  <si>
    <t>Marion</t>
  </si>
  <si>
    <t>OhioHealth Marion General Hospital</t>
  </si>
  <si>
    <t>West Penn Allegheny Health System (WPAHS)</t>
  </si>
  <si>
    <t>Pittsburgh</t>
  </si>
  <si>
    <t>UPMC/UPP Surgery</t>
  </si>
  <si>
    <t>UPMC/ UPP Vascular Surgery</t>
  </si>
  <si>
    <t>MICHIGAN VASCULAR STUDY GROUP (MVSG)</t>
  </si>
  <si>
    <t>Ann Arbor</t>
  </si>
  <si>
    <t>Univ of Michigan Health System</t>
  </si>
  <si>
    <t>Detroit</t>
  </si>
  <si>
    <t>DMC Harper University Hospital</t>
  </si>
  <si>
    <t>Henry Ford Health System</t>
  </si>
  <si>
    <t>Flint</t>
  </si>
  <si>
    <t>McLaren Health Care</t>
  </si>
  <si>
    <t>Grand Rapids</t>
  </si>
  <si>
    <t>Spectrum Health</t>
  </si>
  <si>
    <t>Beaumont Health System</t>
  </si>
  <si>
    <t>Royal Oak</t>
  </si>
  <si>
    <t xml:space="preserve">MID-AMERICA VASCULAR STUDY GROUP </t>
  </si>
  <si>
    <t>Des Moines</t>
  </si>
  <si>
    <t>Mercy Health Network; Trinity Health; CHE Trinity Health</t>
  </si>
  <si>
    <t>UnityPoint Health</t>
  </si>
  <si>
    <t>UnityPoint Health- Des Moines (f/k/a Iowa Methodist)</t>
  </si>
  <si>
    <t>Bloomington</t>
  </si>
  <si>
    <t>OSF Healthcare System</t>
  </si>
  <si>
    <t>OSF- St. Joseph Medical Center</t>
  </si>
  <si>
    <t>Chicago</t>
  </si>
  <si>
    <t>Northwestern Memorial HealthCare</t>
  </si>
  <si>
    <t>University of Chicago Medicine</t>
  </si>
  <si>
    <t>Tenet Healthcare Corp.</t>
  </si>
  <si>
    <t>Peoria</t>
  </si>
  <si>
    <t>OSF- Saint Francis Medical Center</t>
  </si>
  <si>
    <t xml:space="preserve">Rockford </t>
  </si>
  <si>
    <t>OSF- Saint Anthony Medical Center</t>
  </si>
  <si>
    <t>Skokie</t>
  </si>
  <si>
    <t>NorthShore University Health</t>
  </si>
  <si>
    <t xml:space="preserve">NorthShore University Health- NorthShore Skokie Hospital </t>
  </si>
  <si>
    <t>Springfield</t>
  </si>
  <si>
    <t>SIU Healthcare</t>
  </si>
  <si>
    <t>Winfield</t>
  </si>
  <si>
    <t>Cadence Health</t>
  </si>
  <si>
    <t>Bridgeton</t>
  </si>
  <si>
    <t>SSM Health Care- St. Louis</t>
  </si>
  <si>
    <t>SSM DePaul Health Center</t>
  </si>
  <si>
    <t>Chesterfield</t>
  </si>
  <si>
    <t>St. Luke's Hospital (f/k/a Saint Luke's Episcopal Presbyterian Hospital)</t>
  </si>
  <si>
    <t>MU Healthcare, University of Missouri Health System</t>
  </si>
  <si>
    <t>Fenton</t>
  </si>
  <si>
    <t>SSM St. Clare Health Center</t>
  </si>
  <si>
    <t>St. Louis</t>
  </si>
  <si>
    <t>SSM St. Joseph Health Center</t>
  </si>
  <si>
    <t>SSM St. Mary's  Health Center</t>
  </si>
  <si>
    <t>MID-ATLANTIC VASCULAR STUDY GROUP</t>
  </si>
  <si>
    <t>Lewes</t>
  </si>
  <si>
    <t>Wilmington</t>
  </si>
  <si>
    <t>Camden</t>
  </si>
  <si>
    <t>Cooper University Medical Center</t>
  </si>
  <si>
    <t>Summit</t>
  </si>
  <si>
    <t>Atlantic Health System</t>
  </si>
  <si>
    <t>Abington</t>
  </si>
  <si>
    <t>Abington Health</t>
  </si>
  <si>
    <t>Bethlehem</t>
  </si>
  <si>
    <t>St. Luke's University Health Network</t>
  </si>
  <si>
    <t>Danville</t>
  </si>
  <si>
    <t>Geisinger Health System</t>
  </si>
  <si>
    <t>Geisinger Medical Center</t>
  </si>
  <si>
    <t>Hershey</t>
  </si>
  <si>
    <t>Penn State Hershey Health System</t>
  </si>
  <si>
    <t>Philadelphia</t>
  </si>
  <si>
    <t>University of Pennsylvania Health System</t>
  </si>
  <si>
    <t>Reading</t>
  </si>
  <si>
    <t>Reading Health System</t>
  </si>
  <si>
    <t>The Reading Hospital and Medical Center</t>
  </si>
  <si>
    <t>Sayre</t>
  </si>
  <si>
    <t>Guthrie Health</t>
  </si>
  <si>
    <t>Scranton</t>
  </si>
  <si>
    <t>Geisinger Community Medical Center</t>
  </si>
  <si>
    <t>Wilkes-Barre</t>
  </si>
  <si>
    <t>Geisinger Wyoming Valley Medical Center</t>
  </si>
  <si>
    <t>MIDWEST VASCULAR COLLABORATIVE (MWVC)</t>
  </si>
  <si>
    <t>IU Health</t>
  </si>
  <si>
    <t>Fishers</t>
  </si>
  <si>
    <t xml:space="preserve">Goshen </t>
  </si>
  <si>
    <t>Indianapolis</t>
  </si>
  <si>
    <t>Community Health Network</t>
  </si>
  <si>
    <t>Community Hospital Heart &amp; Vascular</t>
  </si>
  <si>
    <t>Franciscan Alliance Inc.</t>
  </si>
  <si>
    <t>St. Francis Heart Center</t>
  </si>
  <si>
    <t>Lafayette</t>
  </si>
  <si>
    <t>Mishawaka</t>
  </si>
  <si>
    <t>Muncie</t>
  </si>
  <si>
    <t>South Bend</t>
  </si>
  <si>
    <t>Beacon Health System</t>
  </si>
  <si>
    <t xml:space="preserve">Memorial Hospital of South Bend </t>
  </si>
  <si>
    <t>Ashland</t>
  </si>
  <si>
    <t>Ashland Hospital Corp.</t>
  </si>
  <si>
    <t>King's Daughters Medical Center</t>
  </si>
  <si>
    <t>Louisville</t>
  </si>
  <si>
    <t>KentuckyOne Health; Catholic Health Initiatives (CHI)</t>
  </si>
  <si>
    <t xml:space="preserve">KentuckyOne Health- Jewish Hospital </t>
  </si>
  <si>
    <t>NORTHERN CA VASCULAR STUDY GROUP (NCVSG)</t>
  </si>
  <si>
    <t>Greenbrae</t>
  </si>
  <si>
    <t>Marin Healthcare District</t>
  </si>
  <si>
    <t>Palo Alto</t>
  </si>
  <si>
    <t>Mills-Peninsula Health Services; Sutter Health</t>
  </si>
  <si>
    <t>Sacramento</t>
  </si>
  <si>
    <t>UC Davis Health System; Univ of CA Board of Regents</t>
  </si>
  <si>
    <t>San Francisco</t>
  </si>
  <si>
    <t>UCSF Medical Center</t>
  </si>
  <si>
    <t>Stanford</t>
  </si>
  <si>
    <t>Stanford Medicine, Stanford Univ School of Medicine</t>
  </si>
  <si>
    <t>ROCKY MOUNTAIN VASCULAR QUALITY INITIATIVE (RMVQI)</t>
  </si>
  <si>
    <t>Tucson</t>
  </si>
  <si>
    <t>Carondelet Health Network</t>
  </si>
  <si>
    <t>Carondelet Specialists Group</t>
  </si>
  <si>
    <t>Univ of AZ Health Network (UAHN)</t>
  </si>
  <si>
    <t>The University of Arizona Medical Center- University Campus</t>
  </si>
  <si>
    <t>Colorado Springs</t>
  </si>
  <si>
    <t>Centura Health; Catholic Initiatives Health (CHI)</t>
  </si>
  <si>
    <t>UCHA- Memorial Hospital Central</t>
  </si>
  <si>
    <t>Denver</t>
  </si>
  <si>
    <t xml:space="preserve">Sisters of Charity of Leavenworth (SCL) Health System </t>
  </si>
  <si>
    <t xml:space="preserve">HealthOne; HCA Continental Division; HCA </t>
  </si>
  <si>
    <t>Presbyterian St. Luke's Medical Center</t>
  </si>
  <si>
    <t>University of Colorado Health Services</t>
  </si>
  <si>
    <t>Boise</t>
  </si>
  <si>
    <t xml:space="preserve">St. Luke's Health System </t>
  </si>
  <si>
    <t xml:space="preserve">St. Luke's Healthcare- St. Luke's Regional Medical Center </t>
  </si>
  <si>
    <t>Billings</t>
  </si>
  <si>
    <t>Albuquerque</t>
  </si>
  <si>
    <t>Lovelace Health System</t>
  </si>
  <si>
    <t>Presbyterian Healthcare Services</t>
  </si>
  <si>
    <t xml:space="preserve">Presbyterian Hospital </t>
  </si>
  <si>
    <t>Carson City</t>
  </si>
  <si>
    <t>Carson Tahoe Health</t>
  </si>
  <si>
    <t>Salt Lake City</t>
  </si>
  <si>
    <t>University of Utah Health Care</t>
  </si>
  <si>
    <t xml:space="preserve">PACIFIC NORTHWEST VASCULAR STUDY GROUP </t>
  </si>
  <si>
    <t>Spokane</t>
  </si>
  <si>
    <t>Providence Health &amp; Services</t>
  </si>
  <si>
    <t>So. CA VASCULAR OUTCOMES IMPROVEMENT COLLABORATIVE (VOICe)</t>
  </si>
  <si>
    <t>Burbank</t>
  </si>
  <si>
    <t>La Mesa</t>
  </si>
  <si>
    <t>Sharp Healthcare</t>
  </si>
  <si>
    <t>Loma Linda</t>
  </si>
  <si>
    <t>Loma Linda University Health</t>
  </si>
  <si>
    <t>Los Angeles</t>
  </si>
  <si>
    <t>Cedars-Sinai Health System</t>
  </si>
  <si>
    <t>UCLA Health; Univ of CA Board of Regents</t>
  </si>
  <si>
    <t>University of Southern California; Univ of CA Board of Regents</t>
  </si>
  <si>
    <t>Newport Beach</t>
  </si>
  <si>
    <t>Hoag Memorial Hospital Presbyterian</t>
  </si>
  <si>
    <t>San Diego</t>
  </si>
  <si>
    <t>UC San Diego Health System; Univ of CA Board of Regents</t>
  </si>
  <si>
    <t>UCSD Medical Center</t>
  </si>
  <si>
    <t>Tarzana</t>
  </si>
  <si>
    <t>Torrance</t>
  </si>
  <si>
    <t>UCLA- Harbor Medical Center, Los Angeles County</t>
  </si>
  <si>
    <t>SOUTHERN VASCULAR OUTCOMES NETWORK (SoVONet)</t>
  </si>
  <si>
    <t>New Orleans</t>
  </si>
  <si>
    <t>Ochsner Health System</t>
  </si>
  <si>
    <t>Shreveport</t>
  </si>
  <si>
    <t>Austin</t>
  </si>
  <si>
    <t>Dallas</t>
  </si>
  <si>
    <t>BSW- Baylor Scott &amp; White Health</t>
  </si>
  <si>
    <t>Baylor- Jack and Jane Hamilton Heart and Vascular Hospital</t>
  </si>
  <si>
    <t>Denton</t>
  </si>
  <si>
    <t>Baylor- The Heart Hospital Denton</t>
  </si>
  <si>
    <t>Galveston</t>
  </si>
  <si>
    <t>University of Texas System</t>
  </si>
  <si>
    <t>John Sealy Hospital, UTMB</t>
  </si>
  <si>
    <t>Houston</t>
  </si>
  <si>
    <t>Methodist Health System</t>
  </si>
  <si>
    <t>Memorial Hermann Healthcare System</t>
  </si>
  <si>
    <t>Nassau Bay</t>
  </si>
  <si>
    <t>Houston Methodist St. John Hospital- Clear Lake   (f/k/a Christus St. John Hosp)</t>
  </si>
  <si>
    <t>Plano</t>
  </si>
  <si>
    <t>Baylor- The Heart Hospital Plano</t>
  </si>
  <si>
    <t>San Antonio</t>
  </si>
  <si>
    <t>Peripheral Vascular Associates</t>
  </si>
  <si>
    <t>Temple</t>
  </si>
  <si>
    <t xml:space="preserve">UPPER MIDWEST VASCULAR NETWORK </t>
  </si>
  <si>
    <t>Coon Rapids</t>
  </si>
  <si>
    <t>Allina Health</t>
  </si>
  <si>
    <t xml:space="preserve">Allina- Mercy Hospital </t>
  </si>
  <si>
    <t>Edina</t>
  </si>
  <si>
    <t>Fairview Health Systems</t>
  </si>
  <si>
    <t>Fairview- Southdale Hospital</t>
  </si>
  <si>
    <t>Fridley</t>
  </si>
  <si>
    <t xml:space="preserve">Allina- Unity Hospital </t>
  </si>
  <si>
    <t>Minneapolis</t>
  </si>
  <si>
    <t xml:space="preserve">Allina- Abbott Northwestern Hospital </t>
  </si>
  <si>
    <t xml:space="preserve">Fairview- University of Minnesota Medical Center </t>
  </si>
  <si>
    <t>Rochester</t>
  </si>
  <si>
    <t>Mayo Clinic Foundation</t>
  </si>
  <si>
    <t>St. Paul</t>
  </si>
  <si>
    <t xml:space="preserve">Allina- United Hospital </t>
  </si>
  <si>
    <t>Sanford Health</t>
  </si>
  <si>
    <t>Sioux Falls</t>
  </si>
  <si>
    <t>Sanford Clinic Vascular Associates</t>
  </si>
  <si>
    <t>Aurora Health Care</t>
  </si>
  <si>
    <t>Cudahy</t>
  </si>
  <si>
    <t>Elkhorn</t>
  </si>
  <si>
    <t>Grafton</t>
  </si>
  <si>
    <t xml:space="preserve">Aurora Medical Center of Grafton </t>
  </si>
  <si>
    <t>Green Bay</t>
  </si>
  <si>
    <t>Hartford</t>
  </si>
  <si>
    <t>Kenosha</t>
  </si>
  <si>
    <t>Milwaukee</t>
  </si>
  <si>
    <t>Froedtert Health Inc</t>
  </si>
  <si>
    <t>Froedtert Memorial Lutheran Hospital</t>
  </si>
  <si>
    <t>Oshkosh</t>
  </si>
  <si>
    <t>Aurora Medical Center in Oshkosh</t>
  </si>
  <si>
    <t>Sheboygan</t>
  </si>
  <si>
    <t>Aurora Medical Center in Summit</t>
  </si>
  <si>
    <t>Two Rivers</t>
  </si>
  <si>
    <t>Aurora Medical Center in Manitowoc County</t>
  </si>
  <si>
    <t>West Allis</t>
  </si>
  <si>
    <t>VASCULAR STUDY GROUP OF GREATER NEW YORK (VSGNY)</t>
  </si>
  <si>
    <t>Bronx</t>
  </si>
  <si>
    <t>Montefiore Health System: Univ Hosp for Einstien College of Med</t>
  </si>
  <si>
    <t>Brooklyn</t>
  </si>
  <si>
    <t>Buffalo</t>
  </si>
  <si>
    <t>CHE Trinity Health</t>
  </si>
  <si>
    <t>Kaleida- Buffalo General Hospital</t>
  </si>
  <si>
    <t>Manhasset</t>
  </si>
  <si>
    <t>NS-LIJ Health</t>
  </si>
  <si>
    <t>NYP Healthcare System</t>
  </si>
  <si>
    <t>New Hyde Park</t>
  </si>
  <si>
    <t>NSLIJ- Long Island Jewish Medical Center</t>
  </si>
  <si>
    <t>New York City</t>
  </si>
  <si>
    <t>Mount Sinai Health System</t>
  </si>
  <si>
    <t>Mouint Sinai- Beth Israel Hospital</t>
  </si>
  <si>
    <t>Mount Sinai- St.Luke's Roosevelt Hospital Center</t>
  </si>
  <si>
    <t>NYP/Weill Cornell Medical College</t>
  </si>
  <si>
    <t>Strong Memorial Hospital, University of Rochester Medical Center</t>
  </si>
  <si>
    <t>Staten Island</t>
  </si>
  <si>
    <t>NSLIJ- Staten Island Hospital- North Site</t>
  </si>
  <si>
    <t>Syracuse</t>
  </si>
  <si>
    <t>Valhalla</t>
  </si>
  <si>
    <t>VASCULAR STUDY GROUP OF NEW ENGLAND (VSGNE)</t>
  </si>
  <si>
    <t>Danbury</t>
  </si>
  <si>
    <t>West Connecticut Health Network</t>
  </si>
  <si>
    <t>Hartford HealthCare</t>
  </si>
  <si>
    <t>Saint Francis Care</t>
  </si>
  <si>
    <t>New Haven</t>
  </si>
  <si>
    <t>Yale New Haven Health System</t>
  </si>
  <si>
    <t xml:space="preserve">Boston </t>
  </si>
  <si>
    <t xml:space="preserve">Beth Israel Deaconess Medical Center </t>
  </si>
  <si>
    <t>BU School of Medicine</t>
  </si>
  <si>
    <t>Partners Healthcare</t>
  </si>
  <si>
    <t>Brigham and Women's Hospital</t>
  </si>
  <si>
    <t>Tufts Univ School of Medicine</t>
  </si>
  <si>
    <t>Brighton</t>
  </si>
  <si>
    <t>Steward Health Care</t>
  </si>
  <si>
    <t xml:space="preserve">St. Elizabeth's Medical Center </t>
  </si>
  <si>
    <t>Fall River</t>
  </si>
  <si>
    <t>Southcoast Health System</t>
  </si>
  <si>
    <t>Leominister</t>
  </si>
  <si>
    <t>New Bedford</t>
  </si>
  <si>
    <t>Southcoast- St. Luke's Hospital</t>
  </si>
  <si>
    <t>Pittsfield</t>
  </si>
  <si>
    <t>Berkshire Health Systems</t>
  </si>
  <si>
    <t xml:space="preserve">Baystate Health </t>
  </si>
  <si>
    <t>Worcester</t>
  </si>
  <si>
    <t>UMass Memorial Health Care</t>
  </si>
  <si>
    <t>University of Massachusetts Memorial Hospital</t>
  </si>
  <si>
    <t>Augusta</t>
  </si>
  <si>
    <t>MaineGeneral Health</t>
  </si>
  <si>
    <t>Bangor</t>
  </si>
  <si>
    <t>EMHS- Eastern Maine Healthcare Systems</t>
  </si>
  <si>
    <t>Lewiston</t>
  </si>
  <si>
    <t>Central Maine HealthCare</t>
  </si>
  <si>
    <t>Portland</t>
  </si>
  <si>
    <t>MaineHealth</t>
  </si>
  <si>
    <t xml:space="preserve">Concord </t>
  </si>
  <si>
    <t>Laconia</t>
  </si>
  <si>
    <t>LRGHealthcare</t>
  </si>
  <si>
    <t>Lakes Region General Hospital</t>
  </si>
  <si>
    <t>Lebanon</t>
  </si>
  <si>
    <t>Dartmouth Hitchcock Health System</t>
  </si>
  <si>
    <t>Manchester</t>
  </si>
  <si>
    <t>Catholic Medical Center d/b/a CTSA</t>
  </si>
  <si>
    <t>Elliot Health System</t>
  </si>
  <si>
    <t>Providence</t>
  </si>
  <si>
    <t>Lifespan Corp</t>
  </si>
  <si>
    <t>Fletcher Allen Healthcare</t>
  </si>
  <si>
    <t>Fletcher Allen HealthCare</t>
  </si>
  <si>
    <t>VIRGINIAS VASCULAR STUDY GROUP (VVSG)</t>
  </si>
  <si>
    <t>Alexandria</t>
  </si>
  <si>
    <t>INOVA Health System</t>
  </si>
  <si>
    <t>Inova Alexandria Hospital</t>
  </si>
  <si>
    <t>Inova Mount Vernon Hospital</t>
  </si>
  <si>
    <t>Charlottesville</t>
  </si>
  <si>
    <t>UVA Health System</t>
  </si>
  <si>
    <t>Fairfax</t>
  </si>
  <si>
    <t>Inova Fair Oaks Hospital</t>
  </si>
  <si>
    <t>Falls Church</t>
  </si>
  <si>
    <t>Inova Fairfax Hospital</t>
  </si>
  <si>
    <t>Fredericksburg</t>
  </si>
  <si>
    <t>Mary Washington Healthcare</t>
  </si>
  <si>
    <t>Inova Gainesville Hospital</t>
  </si>
  <si>
    <t>Hampton</t>
  </si>
  <si>
    <t>Sentara Health System</t>
  </si>
  <si>
    <t>Leesburg</t>
  </si>
  <si>
    <t>Inova Loudoun Hospital</t>
  </si>
  <si>
    <t>Norfolk</t>
  </si>
  <si>
    <t>Sentara Norfolk General Hospital</t>
  </si>
  <si>
    <t>Richmond</t>
  </si>
  <si>
    <t>HCA VA; HCA Capital; HCA</t>
  </si>
  <si>
    <t xml:space="preserve">CJW Medical- Johnston-Willis Hospital </t>
  </si>
  <si>
    <t>Roanoke</t>
  </si>
  <si>
    <t>Carilion Clinic Healthcare</t>
  </si>
  <si>
    <t>Rockingham</t>
  </si>
  <si>
    <t>Suffolk</t>
  </si>
  <si>
    <t>Virginia Beach</t>
  </si>
  <si>
    <t>Williamsburg</t>
  </si>
  <si>
    <t>Valley Health</t>
  </si>
  <si>
    <t>Charleston Area Medical Center (CAMC) Health System, Inc.</t>
  </si>
  <si>
    <t>Huntington</t>
  </si>
  <si>
    <t xml:space="preserve">St. Mary's Medical Center </t>
  </si>
  <si>
    <t>NO REGIONAL AFFILIATION</t>
  </si>
  <si>
    <t>Tallahassee</t>
  </si>
  <si>
    <t>Madisonville</t>
  </si>
  <si>
    <t xml:space="preserve">Baptist Health Madisonville- Jack L. Hamman Heart &amp; Vascular Center </t>
  </si>
  <si>
    <t>Jackson</t>
  </si>
  <si>
    <t>UMMC Health Care</t>
  </si>
  <si>
    <t>Lincoln</t>
  </si>
  <si>
    <t>CHI Nebraska; Catholic Health Initiatives (CHI)</t>
  </si>
  <si>
    <t>CHI Health Nebraska Heart</t>
  </si>
  <si>
    <t>Brick</t>
  </si>
  <si>
    <t>Meridian Health System</t>
  </si>
  <si>
    <t>Holmdel</t>
  </si>
  <si>
    <t>Manakawkin</t>
  </si>
  <si>
    <t>Neptune</t>
  </si>
  <si>
    <t>Red Bank</t>
  </si>
  <si>
    <t>Turnersville</t>
  </si>
  <si>
    <t>Kennedy Health System</t>
  </si>
  <si>
    <t>Oregon Health &amp; Sciences University</t>
  </si>
  <si>
    <t>West Tennessee Healthcare</t>
  </si>
  <si>
    <t>Jackson Madison County General Hospital</t>
  </si>
  <si>
    <t>Knoxville</t>
  </si>
  <si>
    <t>University of TN Health Science Center</t>
  </si>
  <si>
    <t>Memphis</t>
  </si>
  <si>
    <t>Baptist Memorial Health Care</t>
  </si>
  <si>
    <t>Nashville</t>
  </si>
  <si>
    <t>Seattle</t>
  </si>
  <si>
    <t>Harborview Medical Center</t>
  </si>
  <si>
    <t>UW Medicine</t>
  </si>
  <si>
    <t>Univeristy of Washington Medical Center</t>
  </si>
  <si>
    <t>Parkersburg</t>
  </si>
  <si>
    <t>Camden Clark Medical Center</t>
  </si>
  <si>
    <t>CANADA</t>
  </si>
  <si>
    <t>West Penn- Jefferson Hospital</t>
  </si>
  <si>
    <t>Westerville</t>
  </si>
  <si>
    <t>Inovia Vein Specialty Center</t>
  </si>
  <si>
    <t>South Miami Hospital</t>
  </si>
  <si>
    <t>UW Med Ctr &amp; Harborview Med Ctr (2)</t>
  </si>
  <si>
    <t>Geisinger Community Med Ctr</t>
  </si>
  <si>
    <t>Geisinger Wyoming Valley Med Ctr</t>
  </si>
  <si>
    <t>Vascular Care of Metro West</t>
  </si>
  <si>
    <t>Nashville Vascular &amp; Vein</t>
  </si>
  <si>
    <t>Summa Health System</t>
  </si>
  <si>
    <t>Charlottesville Radiology</t>
  </si>
  <si>
    <t>Sanford Vasular Clinic</t>
  </si>
  <si>
    <t>Memorial hospital of South Bend</t>
  </si>
  <si>
    <t>Memorial Health University Medical Center</t>
  </si>
  <si>
    <t>Munroe Regional</t>
  </si>
  <si>
    <t>Unity Point Health- Proctor</t>
  </si>
  <si>
    <t>UnityPoint Health- Proctor</t>
  </si>
  <si>
    <t>Upsell - NVQI</t>
  </si>
  <si>
    <t>Vascular Center of MetroWest PC</t>
  </si>
  <si>
    <t>Unity Point Methodist</t>
  </si>
  <si>
    <t>dropped Open AAA, Bypass, Hemo, LEA, IVC and DI at time of renewal and converted to flat fee, added an institution</t>
  </si>
  <si>
    <t>UW Medicine- Northwest Hospital &amp; Medical Center</t>
  </si>
  <si>
    <t>UW Medicine- Harborview Medical Center</t>
  </si>
  <si>
    <t>UW Medicine- Univ of Washington Med Ctr</t>
  </si>
  <si>
    <t>Baptist Hospital of Miami-South Miami Hosp</t>
  </si>
  <si>
    <t>Miami Vein Center</t>
  </si>
  <si>
    <t>Upsell- VV</t>
  </si>
  <si>
    <t>Upsell - Add VV</t>
  </si>
  <si>
    <t xml:space="preserve">Peripheral Vascular Associates (PVA) </t>
  </si>
  <si>
    <t>NEW- VQI- NVQI</t>
  </si>
  <si>
    <t>Medical University Hospital Authority</t>
  </si>
  <si>
    <t>Grady Health</t>
  </si>
  <si>
    <t>Charlottesville Radiology, LTD/ CRL Surgical Associates</t>
  </si>
  <si>
    <t xml:space="preserve">UPMC/Hamot Hospital </t>
  </si>
  <si>
    <t>Upsell - VV</t>
  </si>
  <si>
    <t>Upsell-VV</t>
  </si>
  <si>
    <t>Bend</t>
  </si>
  <si>
    <t>Grady Memorial Hospital</t>
  </si>
  <si>
    <t>Akron</t>
  </si>
  <si>
    <t>University of Kansas Medical Center</t>
  </si>
  <si>
    <t>Kansas City</t>
  </si>
  <si>
    <t>KA</t>
  </si>
  <si>
    <t>Novant Health Matthews Medical Center</t>
  </si>
  <si>
    <t>Novant Health Inc.</t>
  </si>
  <si>
    <t xml:space="preserve">AP </t>
  </si>
  <si>
    <t>Mercy Hospital St. Louis</t>
  </si>
  <si>
    <t xml:space="preserve">Saint Anne's </t>
  </si>
  <si>
    <t>KS</t>
  </si>
  <si>
    <t>Mercy Hospital of St. Louis</t>
  </si>
  <si>
    <t>Cardiovascular Medicine PC (2)</t>
  </si>
  <si>
    <t>Baylor University Medical Center</t>
  </si>
  <si>
    <t>Centura Health - Penrose St. Francis</t>
  </si>
  <si>
    <t>Drop LEA, IVC, Hemodialysis and TEVAR</t>
  </si>
  <si>
    <t>Cardiovascular MedicinePC-Illinois</t>
  </si>
  <si>
    <t>Cardiovascular MedicinePC-Iowa</t>
  </si>
  <si>
    <t>Baylor University</t>
  </si>
  <si>
    <t>New-NVQI</t>
  </si>
  <si>
    <t>Baylor Univ Medical Ctr</t>
  </si>
  <si>
    <t>Johns Hopkins Bayview</t>
  </si>
  <si>
    <t>Upsell - Add Endo AAA</t>
  </si>
  <si>
    <r>
      <t xml:space="preserve">Upsell- Add EVAR, </t>
    </r>
    <r>
      <rPr>
        <sz val="10"/>
        <rFont val="Calibri"/>
        <family val="2"/>
        <scheme val="minor"/>
      </rPr>
      <t>drop TEVAR/Supra</t>
    </r>
  </si>
  <si>
    <t>NYU</t>
  </si>
  <si>
    <t>Upsell- EVAR, Open AA</t>
  </si>
  <si>
    <t>Tampa General</t>
  </si>
  <si>
    <t>Henry Ford West Bloomfield</t>
  </si>
  <si>
    <t>Rapid City Regional Hospital</t>
  </si>
  <si>
    <t>Aurora West Allis</t>
  </si>
  <si>
    <t>Central DuPage Hospital/Cadence Health</t>
  </si>
  <si>
    <t>louidiana</t>
  </si>
  <si>
    <t>Total December Loss Revenue</t>
  </si>
  <si>
    <t>Drop Hemodialysis</t>
  </si>
  <si>
    <t>Northwestern Medicine Central DuPage Hospital</t>
  </si>
  <si>
    <t>Altru Health System</t>
  </si>
  <si>
    <t>New- NVQI</t>
  </si>
  <si>
    <t>Mount Sinai Hospital</t>
  </si>
  <si>
    <t>Rapid City Regional</t>
  </si>
  <si>
    <t>New - VQI</t>
  </si>
  <si>
    <t>Rapid City</t>
  </si>
  <si>
    <t>Central DuPage Hospital</t>
  </si>
  <si>
    <t>Renewals</t>
  </si>
  <si>
    <t>January Recurring Revenue Analysis</t>
  </si>
  <si>
    <t>Prior Year</t>
  </si>
  <si>
    <t>Current Year</t>
  </si>
  <si>
    <t>Change</t>
  </si>
  <si>
    <t># of Reg</t>
  </si>
  <si>
    <t>Rec Rev</t>
  </si>
  <si>
    <t>Renewal Change to Recurring Revenue</t>
  </si>
  <si>
    <t>Contract Sent</t>
  </si>
  <si>
    <t>Contract Received</t>
  </si>
  <si>
    <t>Recurring Revenue</t>
  </si>
  <si>
    <t>Change in # Registries</t>
  </si>
  <si>
    <t>Total New Recurring Revenue</t>
  </si>
  <si>
    <t>New Institutions</t>
  </si>
  <si>
    <t>Upsell to Existing Institution</t>
  </si>
  <si>
    <t>Dropped Procedures from Existing Registries</t>
  </si>
  <si>
    <t>Total Dropped Recurring Revenue</t>
  </si>
  <si>
    <t>Terminated Contracts</t>
  </si>
  <si>
    <t>Total Change to Recurring Revenue</t>
  </si>
  <si>
    <t>Carilion Roanoke Memorial</t>
  </si>
  <si>
    <t>Catholic Medical Center</t>
  </si>
  <si>
    <t>Upsell- Add Open AAA</t>
  </si>
  <si>
    <t>Vol</t>
  </si>
  <si>
    <t>OSU</t>
  </si>
  <si>
    <t>Total</t>
  </si>
  <si>
    <t>February Recurring Revenue Analysis</t>
  </si>
  <si>
    <t>Baylor Denton</t>
  </si>
  <si>
    <t>Baylor Plano</t>
  </si>
  <si>
    <t>Adventist</t>
  </si>
  <si>
    <t>UNC</t>
  </si>
  <si>
    <t>ProHealth Care (Waukesha Memorial Hospital)</t>
  </si>
  <si>
    <t>Waukesha</t>
  </si>
  <si>
    <t>The OSU</t>
  </si>
  <si>
    <t>Strong Memorial Hospital (University of Rochester Medicine)</t>
  </si>
  <si>
    <t>Camden-Clark Memorial Hospital</t>
  </si>
  <si>
    <t xml:space="preserve">Albany Vascular Specialists </t>
  </si>
  <si>
    <t>Ronald Reagan UCLA Medical Center (Regents of Univ of CA)</t>
  </si>
  <si>
    <t>March Recurring Revenue Analysis</t>
  </si>
  <si>
    <t>ProHealth Care, Inc</t>
  </si>
  <si>
    <t>Catholic Medical Center/Cardio Thoracic Surgical Associates</t>
  </si>
  <si>
    <t>West Bloomfield</t>
  </si>
  <si>
    <t>Henry Ford Hospital West Bloomfield</t>
  </si>
  <si>
    <t>Horizon Vascular Specialists</t>
  </si>
  <si>
    <t>Tift Regional Medical Center</t>
  </si>
  <si>
    <t>Cedar-Sinai Medical Center</t>
  </si>
  <si>
    <t>Rapid City Regional Hosp</t>
  </si>
  <si>
    <t>Henry Ford Hospital-West Bloomfield</t>
  </si>
  <si>
    <t>Lifespan (RI Hosp &amp; The Miriam Hosp)</t>
  </si>
  <si>
    <t>Coastal Vascular and Interventional</t>
  </si>
  <si>
    <t>University Hospitals Health System (OH)</t>
  </si>
  <si>
    <t>Mayo Clinic Arizona (Added to Mayo Clinic Rochester)</t>
  </si>
  <si>
    <t>Mayo Clinic Florida (Added to Mayo Clinic Rochester)</t>
  </si>
  <si>
    <t>The MetroHealth System</t>
  </si>
  <si>
    <t>MetroHealth System</t>
  </si>
  <si>
    <t>Mayo Clinic - Rochester - Add LEB, PVI, VV (VV effective 8/1)</t>
  </si>
  <si>
    <t>University of Kansas Hospital Authority</t>
  </si>
  <si>
    <t>Midstate Medical Center (Added to Hartford Healthcare)</t>
  </si>
  <si>
    <t>The Hospital of Central Connecticut (Added to Hartford Healthcare)</t>
  </si>
  <si>
    <t>University Hospitals Health System</t>
  </si>
  <si>
    <t xml:space="preserve">Mayo Clinic Arizona </t>
  </si>
  <si>
    <t xml:space="preserve">Mayo Clinic Florida </t>
  </si>
  <si>
    <t>Shaker Heights</t>
  </si>
  <si>
    <t>Phoenix</t>
  </si>
  <si>
    <t>Jacksonville</t>
  </si>
  <si>
    <t>Germantown</t>
  </si>
  <si>
    <t>Hartford Healthcare- Midstate</t>
  </si>
  <si>
    <t>Hartford Healthcare- Hosp of Central CT</t>
  </si>
  <si>
    <t>Hartford Healthcare- Hartford Hospital</t>
  </si>
  <si>
    <t>Note: March renewal</t>
  </si>
  <si>
    <t>Mayo Clinic - Rochester - Add VV effective 8/1</t>
  </si>
  <si>
    <t>Methodist Hosp</t>
  </si>
  <si>
    <t>OSF - St Mary's Medical Center-customer dropped in June 2014</t>
  </si>
  <si>
    <t>Mayo Clinic -Florida</t>
  </si>
  <si>
    <t>Mayo Clinic -Arizona</t>
  </si>
  <si>
    <t xml:space="preserve">Mayo Clinic - Rochester </t>
  </si>
  <si>
    <t>St. Francis Heart (Franciscan Health System)</t>
  </si>
  <si>
    <t>Indiana University Health Bloomington (IU Health)</t>
  </si>
  <si>
    <t>Carolinas Healthcare - Pineville</t>
  </si>
  <si>
    <t>Maine General Medical Center</t>
  </si>
  <si>
    <t>SF</t>
  </si>
  <si>
    <t>Sentara Northern Virginia (Added to Sentara Hospital)</t>
  </si>
  <si>
    <t xml:space="preserve">Carolinas Healthcare - Pineville </t>
  </si>
  <si>
    <t>Pinveille</t>
  </si>
  <si>
    <t xml:space="preserve">Indiana University Health Bloomington </t>
  </si>
  <si>
    <t>St. Luke's Hospital (MN)</t>
  </si>
  <si>
    <t>Scripps Green Hospital (Scripps Health)</t>
  </si>
  <si>
    <t>UPMC/Hamot Hospital</t>
  </si>
  <si>
    <t>Erie</t>
  </si>
  <si>
    <t>Duluth</t>
  </si>
  <si>
    <t>April Recurring Revenue Analysis</t>
  </si>
  <si>
    <t>UPMC Hamot Hospital</t>
  </si>
  <si>
    <t>Total Recurring Revenue</t>
  </si>
  <si>
    <t>Overlook Hospital (Atlantic Health System)</t>
  </si>
  <si>
    <t>Baptist Health Madisonville</t>
  </si>
  <si>
    <t>St. Lukes Hospital (MO)</t>
  </si>
  <si>
    <t xml:space="preserve">Saint Thomas (Rutherford Hospital, Midtown Hospital, West Hospital) </t>
  </si>
  <si>
    <t>Dignity Health (Sequoia Hospital)</t>
  </si>
  <si>
    <t>Memorial University Health Medical Center- SHVI</t>
  </si>
  <si>
    <t>Scripps Health-Scripps Green Hospital</t>
  </si>
  <si>
    <t>St Luke's Hospital (MN)</t>
  </si>
  <si>
    <t>Mayo Clinic Florida</t>
  </si>
  <si>
    <t>Mayo Clinic Arizona</t>
  </si>
  <si>
    <t>University of Arkansas Medical Sciences</t>
  </si>
  <si>
    <t xml:space="preserve">Sentara Northern Virginia </t>
  </si>
  <si>
    <t>Providence Holy Family Hospital</t>
  </si>
  <si>
    <t>Providence St. Mary Medical Center</t>
  </si>
  <si>
    <t>Providence Medford Medical Center</t>
  </si>
  <si>
    <t>Providence Portland Medical Center</t>
  </si>
  <si>
    <t>Providence St. Vincent Medical Center</t>
  </si>
  <si>
    <t>Providence St. Peter Hospital</t>
  </si>
  <si>
    <t>Swedish Cherry Hill (Providence)</t>
  </si>
  <si>
    <t>Swedish Edmonds (Providence)</t>
  </si>
  <si>
    <t>Swedish First Hill (Providence)</t>
  </si>
  <si>
    <t>Kadlec (Providence)</t>
  </si>
  <si>
    <t>St. Patrick Hospital (Providence)</t>
  </si>
  <si>
    <t>Providence Alaska Medical Center</t>
  </si>
  <si>
    <t>Providence Regional Medical Center</t>
  </si>
  <si>
    <t>AK</t>
  </si>
  <si>
    <t>Providence Holy Cross Medical Center</t>
  </si>
  <si>
    <t>Santa Monica</t>
  </si>
  <si>
    <t>Providence Little Company of Mary, Torrance</t>
  </si>
  <si>
    <t>Anchorage</t>
  </si>
  <si>
    <t>Wala Wala</t>
  </si>
  <si>
    <t>Medford</t>
  </si>
  <si>
    <t>Everett</t>
  </si>
  <si>
    <t>Olympia</t>
  </si>
  <si>
    <t>Richland</t>
  </si>
  <si>
    <t>Missoula</t>
  </si>
  <si>
    <t>St. John's Health Center (Providence)</t>
  </si>
  <si>
    <t>St. Anthony's Medical Center</t>
  </si>
  <si>
    <t>OSF Healthcare System (St. Anthony and St. Joseph)</t>
  </si>
  <si>
    <t>Mount Carmel (St. Anne's, East Hospital, West Hospital)</t>
  </si>
  <si>
    <t>St Anthony's Medical Center</t>
  </si>
  <si>
    <t>SOUTHEASTERN VASCULAR STUDY GROUP</t>
  </si>
  <si>
    <t>Providence Health System</t>
  </si>
  <si>
    <t>MR/SF</t>
  </si>
  <si>
    <t>Providence Health System-Sacred Heart Medical Center</t>
  </si>
  <si>
    <t>Providence Health System-Saint Joseph Medical Center</t>
  </si>
  <si>
    <t>Providence Health System-Tarzana Medical Center</t>
  </si>
  <si>
    <t>UCH Memorial Health System</t>
  </si>
  <si>
    <t>Medical University Hospital Authority (MUHA)</t>
  </si>
  <si>
    <t>May Recurring Revenue Analysis</t>
  </si>
  <si>
    <t>June Recurring Revenue Analysis</t>
  </si>
  <si>
    <t>July Recurring Revenue Analysis</t>
  </si>
  <si>
    <t>August Recurring Revenue Analysis</t>
  </si>
  <si>
    <t>September Recurring Revenue Analysis</t>
  </si>
  <si>
    <t>October Recurring Revenue Analysis</t>
  </si>
  <si>
    <t>November Recurring Revenue Analysis</t>
  </si>
  <si>
    <t>December Recurring Revenue Analysis</t>
  </si>
  <si>
    <t>Cleveland Clinic-dropped DI</t>
  </si>
  <si>
    <t>Carolinas Healthcare- Pineville</t>
  </si>
  <si>
    <t>Sentara Northern Virginia</t>
  </si>
  <si>
    <t>Redwood City</t>
  </si>
  <si>
    <t>Providence Health System -St Patrick Hospital</t>
  </si>
  <si>
    <t>Providence Health System- Everett Regional Medical Center</t>
  </si>
  <si>
    <t>Providence Health System- Alaska Medical Center</t>
  </si>
  <si>
    <t>Wake Forest Unviersity Baptist Medical Center</t>
  </si>
  <si>
    <t>Dignity Health-Sequoia Hosp</t>
  </si>
  <si>
    <t>Ohio State University - Wexner Medical Center</t>
  </si>
  <si>
    <t>St. Elizabeth Medical Center</t>
  </si>
  <si>
    <t>Duke University Health System</t>
  </si>
  <si>
    <t>Duke University Medical Center</t>
  </si>
  <si>
    <t>Saint Thomas Midtown Hospital</t>
  </si>
  <si>
    <t>Saint Thomas Rutherford Hospital</t>
  </si>
  <si>
    <t>Saint Thomas West Hospital</t>
  </si>
  <si>
    <t>Erlanger Health System</t>
  </si>
  <si>
    <t xml:space="preserve">Erlanger Health System (NVQI - AIS, CA, AVM) </t>
  </si>
  <si>
    <t>365+</t>
  </si>
  <si>
    <t>University of Michigan (Drop IVC; Add CAS)</t>
  </si>
  <si>
    <t>Baptist Memorial Hospital (TN)</t>
  </si>
  <si>
    <t>Baylor All Saints Medical Center</t>
  </si>
  <si>
    <t>AVM</t>
  </si>
  <si>
    <t>Saint Thomas Health-Midtown Hosp</t>
  </si>
  <si>
    <t>Saint Thomas Health-Rutherford Hosp</t>
  </si>
  <si>
    <t>Saint Thomas Health-West Hosp</t>
  </si>
  <si>
    <t>University of Texas MD Anderson Center</t>
  </si>
  <si>
    <t>St. Luke's Health System (ID)</t>
  </si>
  <si>
    <t>Dr E Gardner MD PC</t>
  </si>
  <si>
    <t>Dr. E. Gardner, MD PC</t>
  </si>
  <si>
    <t>University of Toledo Med Ctr</t>
  </si>
  <si>
    <t>University of Vermont Med Ctr  fka Fletcher Allen Healthcare</t>
  </si>
  <si>
    <t>Coastal Vascular &amp; Interventional, PLLC- FF</t>
  </si>
  <si>
    <t>University of Colorado, Denver- FF</t>
  </si>
  <si>
    <t>University of Toledo Med Ctr- FF</t>
  </si>
  <si>
    <t>Maryland Vascular Specialist (f/k/a Dr. Samer Saiedy) -FF</t>
  </si>
  <si>
    <t>Detriot Med Ctr- Harper -FF</t>
  </si>
  <si>
    <t>Lakes Regional - FF</t>
  </si>
  <si>
    <t>Tufts Medical Center- FF</t>
  </si>
  <si>
    <t>Mayo Clinic AZ and FL</t>
  </si>
  <si>
    <t>Athens Regional Medical Center</t>
  </si>
  <si>
    <t>Athens</t>
  </si>
  <si>
    <t>University of Alabama</t>
  </si>
  <si>
    <t>Providence Health System- Portland</t>
  </si>
  <si>
    <t>Providence Health System- Medford</t>
  </si>
  <si>
    <t>Providence Health System- St Vincent</t>
  </si>
  <si>
    <t>Baton Rouge General Medical Center</t>
  </si>
  <si>
    <t>Durham</t>
  </si>
  <si>
    <t>Neurological Institute of Savannah &amp; Center for Spine</t>
  </si>
  <si>
    <t>Our Lady of the Lake Hospital</t>
  </si>
  <si>
    <t>Our Lady of the Lake</t>
  </si>
  <si>
    <t>Sanford Medical Center Bismark</t>
  </si>
  <si>
    <t>Mercy Hosp Springfield</t>
  </si>
  <si>
    <t>Mercy Hospital Springfield</t>
  </si>
  <si>
    <t>University of Toledo Medical Center</t>
  </si>
  <si>
    <t>Southcoast (St. Lukes and Charlton)</t>
  </si>
  <si>
    <t>University of Vermont</t>
  </si>
  <si>
    <t>Baylor Heart Hospital Denton</t>
  </si>
  <si>
    <t>KentuckyOne Health -- Jewish East</t>
  </si>
  <si>
    <t>KentuckyOne Health- Jewish East</t>
  </si>
  <si>
    <t>MD Anderson Cancer Center</t>
  </si>
  <si>
    <t>University of Tennessee (New to NVQI - AIS only)</t>
  </si>
  <si>
    <t>UC Davis</t>
  </si>
  <si>
    <t>Duke University Health System (Add Data Import)</t>
  </si>
  <si>
    <t>Wright State Physicians Group</t>
  </si>
  <si>
    <t>Northside Hospital (three facilities)</t>
  </si>
  <si>
    <t>Columbia St. Mary - Milwaukee</t>
  </si>
  <si>
    <t>Columbia St. Mary's - Milwaukee</t>
  </si>
  <si>
    <t>Columbia St. Mary's - Ozaukee</t>
  </si>
  <si>
    <t>Cleveland Clinic (Add CA and AVM)</t>
  </si>
  <si>
    <t>Strong Memorial (URMC) (Add Data Import)</t>
  </si>
  <si>
    <t>Columbia St. Mary - Ozaukee</t>
  </si>
  <si>
    <t>Columbia St Marys Milwaukee Hospital</t>
  </si>
  <si>
    <t>Columbia St Marys Osaukee Hospital</t>
  </si>
  <si>
    <t xml:space="preserve">Medical Center Hospital </t>
  </si>
  <si>
    <t>Memorial Hospital Pembroke</t>
  </si>
  <si>
    <t>Memorial Hospital West</t>
  </si>
  <si>
    <t>Allina Health System</t>
  </si>
  <si>
    <t>Washington Hospital Health System (VQI and NVQI)</t>
  </si>
  <si>
    <t xml:space="preserve">Coastal Vascular and Interventional </t>
  </si>
  <si>
    <t>Washington Hospital Health System</t>
  </si>
  <si>
    <t>Fremont</t>
  </si>
  <si>
    <t>Pembroke Pines</t>
  </si>
  <si>
    <t>Baton Rouge</t>
  </si>
  <si>
    <t>Murfreesboro</t>
  </si>
  <si>
    <t>Tifton</t>
  </si>
  <si>
    <t>Mequon</t>
  </si>
  <si>
    <t>Woodbridge</t>
  </si>
  <si>
    <t>Washington Hosp Healthcare</t>
  </si>
  <si>
    <t>Mayo Clinic AZ and Florida</t>
  </si>
  <si>
    <t>West Tennessee Heart and Vascular</t>
  </si>
  <si>
    <t>Northshore Hospital (Drop LEB, PVI, and Data Import)</t>
  </si>
  <si>
    <t>Cadence Central DuPage (Add CA and AVM)</t>
  </si>
  <si>
    <t>Washington Hospital Medstar (Add CAS)</t>
  </si>
  <si>
    <t>Stony Brook University Medical Center</t>
  </si>
  <si>
    <t>KentuckyOne Health-Jewish Hospital East</t>
  </si>
  <si>
    <t>Memorial Hospital Central- UCHA</t>
  </si>
  <si>
    <t>Medical Center Hospital</t>
  </si>
  <si>
    <t>Anderson Regional Medical Center</t>
  </si>
  <si>
    <t>Tift Regional Medical Center (Drop PVI; add CEA)</t>
  </si>
  <si>
    <t>Anderson Regional Med Ctr</t>
  </si>
  <si>
    <t>Columbia University</t>
  </si>
  <si>
    <t>Lifespan-Rhode Island Hosp-NVQI</t>
  </si>
  <si>
    <t>Geisinger System Services (3 facilities)</t>
  </si>
  <si>
    <t>Inova-add NVQI to Fairfax and Alexandria</t>
  </si>
  <si>
    <t>Saint Josephs</t>
  </si>
  <si>
    <t>Barnabas Health (3 facilities)</t>
  </si>
  <si>
    <t>Saint Barnabas Medical Center (Barnabas Health)</t>
  </si>
  <si>
    <t>Newark Beth Isreal Medical Center (Barnabas Health)</t>
  </si>
  <si>
    <t>Rex Healthcare (UNC Health System)</t>
  </si>
  <si>
    <t>Centra Health System</t>
  </si>
  <si>
    <t>Centra Health</t>
  </si>
  <si>
    <t>UNC Hospitals- Rex Healthcare</t>
  </si>
  <si>
    <t>Barnabas Health- Saint Barnabas Medical Center</t>
  </si>
  <si>
    <t>Barnabas Health- Monmouth Medical Center</t>
  </si>
  <si>
    <t>Barnabas Health- Newark Beth Israel Med Ctr</t>
  </si>
  <si>
    <t>Baycare St. Anthony's Hospital (Drop HAD, IVC, Data Import)</t>
  </si>
  <si>
    <t>Loma Linda University Medical Center (Add NVQI)</t>
  </si>
  <si>
    <t>Memorial Hospital of South Bend (Add NVQI)</t>
  </si>
  <si>
    <t>Memorial Hospital of South Bend</t>
  </si>
  <si>
    <t>Livingston</t>
  </si>
  <si>
    <t>Newark</t>
  </si>
  <si>
    <t>Raleigh</t>
  </si>
  <si>
    <t>MID-SOUTH VASCULAR STUDY GROUP</t>
  </si>
  <si>
    <t>Centra Health (Lynchburg General Hospital)</t>
  </si>
  <si>
    <t>Lynchburg</t>
  </si>
  <si>
    <t>Vascular Surgery Associates</t>
  </si>
  <si>
    <t>UT MD Anderson (Remove Supra; Add HAD)</t>
  </si>
  <si>
    <t>UT MD Anderson (Remove Supra, Add HAD)</t>
  </si>
  <si>
    <t>Beacon Health Clinic (Add to Memorial Hospital of South Bend)</t>
  </si>
  <si>
    <t>Carroll Hospital</t>
  </si>
  <si>
    <t>Rockford Memorial</t>
  </si>
  <si>
    <t>Nashville Vein &amp; Vascular</t>
  </si>
  <si>
    <t>Infra</t>
  </si>
  <si>
    <t>Supra</t>
  </si>
  <si>
    <t>Set Up Fee</t>
  </si>
  <si>
    <t>Total Change to Revenue</t>
  </si>
  <si>
    <t>Baylor Scott and White Memorial Hospital</t>
  </si>
  <si>
    <t>North Florida Regional Medical Center</t>
  </si>
  <si>
    <t>Mount Sinai</t>
  </si>
  <si>
    <t>Memorial Hospital of South Bend (IN)-Beacon Health Clinic</t>
  </si>
  <si>
    <t>North Florida Regional Med Ctr</t>
  </si>
  <si>
    <t>Presbyterian St Lukes (CO)-remove DI</t>
  </si>
  <si>
    <t>Pool</t>
  </si>
  <si>
    <t>Virginia Commonwealth Univ</t>
  </si>
  <si>
    <t>Washington Hospital Medstar (Add Data Import)</t>
  </si>
  <si>
    <t>Virginia Commonwealth University Hospital Authority</t>
  </si>
  <si>
    <t>VCU Health System Authority</t>
  </si>
  <si>
    <t>Columbia Surgical Services, Inc. (Added to U of Missouri)</t>
  </si>
  <si>
    <t>Columbia St. Mary's (Remove DI)</t>
  </si>
  <si>
    <t xml:space="preserve">Columbia Surgical Services, Inc. </t>
  </si>
  <si>
    <t>University of Missouri - Columbia Surgical Associates</t>
  </si>
  <si>
    <t>Jobst Promedica Toledo Hospital (Remove DI)</t>
  </si>
  <si>
    <t>University of New Mexico</t>
  </si>
  <si>
    <t>Regents of the University of New Mexico</t>
  </si>
  <si>
    <t>Virginia Mason</t>
  </si>
  <si>
    <t xml:space="preserve">Carle Foundation Hospital </t>
  </si>
  <si>
    <t>Carle Foundation Hospital</t>
  </si>
  <si>
    <t>University of New Mexico Hospitals</t>
  </si>
  <si>
    <t>Lost</t>
  </si>
  <si>
    <t>VQI New</t>
  </si>
  <si>
    <t>VQI lost</t>
  </si>
  <si>
    <t>NVQI New</t>
  </si>
  <si>
    <t>NVQI lost</t>
  </si>
  <si>
    <t>Urbana</t>
  </si>
  <si>
    <t>Borgess Hospital</t>
  </si>
  <si>
    <t xml:space="preserve">University Physician Associates of New Jersey </t>
  </si>
  <si>
    <t>AL</t>
  </si>
  <si>
    <t>University Physician Associates of New Jersey</t>
  </si>
  <si>
    <t>Ronald Reagan Medical Center (UCLA Health)</t>
  </si>
  <si>
    <t>Ohio Health - Marion General</t>
  </si>
  <si>
    <t>McLaren Macomb</t>
  </si>
  <si>
    <t>NYU Langone Medical Center</t>
  </si>
  <si>
    <t>McLaren Regional Medical Center d/b/a Flint</t>
  </si>
  <si>
    <t>Thunder Bay Regional Health Sciences Centre</t>
  </si>
  <si>
    <t>Kalamazoo</t>
  </si>
  <si>
    <t>MM/MR</t>
  </si>
  <si>
    <t>Altru Health System-Jan renewal</t>
  </si>
  <si>
    <t>St Agnes Healthcare- Nov renewal</t>
  </si>
  <si>
    <t>Piedmont Hospital</t>
  </si>
  <si>
    <t>Aurora - Baycare Medical Center</t>
  </si>
  <si>
    <t>Aurora - Oshkosh</t>
  </si>
  <si>
    <t>St Alphonsus Regional Medical Center-Didn't renew in March</t>
  </si>
  <si>
    <t>University of Alabama-NVQI</t>
  </si>
  <si>
    <t>Mount Sinai Medical Center</t>
  </si>
  <si>
    <t>UnityPoint Health - Methodist</t>
  </si>
  <si>
    <t>UnityPoint Health - Proctor</t>
  </si>
  <si>
    <t>Rush University Medical Center</t>
  </si>
  <si>
    <t>Beth Israel Hospital (NY)</t>
  </si>
  <si>
    <t>Nebraska Medical Center</t>
  </si>
  <si>
    <t>South Texas Vascular Center</t>
  </si>
  <si>
    <t xml:space="preserve">Metrohealth System </t>
  </si>
  <si>
    <t>Mercy Medical Center- Canton</t>
  </si>
  <si>
    <t>South Texas Vacular Center</t>
  </si>
  <si>
    <t>University of Virginia (Add NVQI)</t>
  </si>
  <si>
    <t>St. Mary's Hospital (Add to SSM Healthcare)</t>
  </si>
  <si>
    <t>SSM Health St. Louis University Hospital (Add to SSM Healthcare)</t>
  </si>
  <si>
    <t xml:space="preserve">SSM Health St. Louis University Hospital </t>
  </si>
  <si>
    <t>St. Mary's Hospital</t>
  </si>
  <si>
    <t>SSM Healthcare- St Louis University Hospital</t>
  </si>
  <si>
    <t>SSM Healthcare- St Mary's Hospital-Madison</t>
  </si>
  <si>
    <t>Omaha</t>
  </si>
  <si>
    <t xml:space="preserve">St. Louis </t>
  </si>
  <si>
    <t xml:space="preserve">Madison </t>
  </si>
  <si>
    <t>Kings Daughter-april renewal</t>
  </si>
  <si>
    <t>Kings Daughter-april renewal (Original Amount)</t>
  </si>
  <si>
    <t>Penn State Milton Hershey Medical Center</t>
  </si>
  <si>
    <t>Tuscaloosa</t>
  </si>
  <si>
    <t>West Virginia University Hospitals, Inc.</t>
  </si>
  <si>
    <t>University of Alabama -CEA and DI</t>
  </si>
  <si>
    <t>University of Alabama (Add 4 registries)</t>
  </si>
  <si>
    <t>West Virginia University Hospitals</t>
  </si>
  <si>
    <t>Our Lady of the Lake Regional Medical Center</t>
  </si>
  <si>
    <t>St. Luke's Hospital - Bethlehem Campus (and DI)</t>
  </si>
  <si>
    <t>Allentown</t>
  </si>
  <si>
    <t>Anderson</t>
  </si>
  <si>
    <t>St. Luke's Hospital &amp; Health Network - Bethlehem Campus</t>
  </si>
  <si>
    <t>St. Luke's Hospital &amp; Health Network - Allentown Campus</t>
  </si>
  <si>
    <t>St. Luke's Hospital &amp; Health Network - Anderson Campus</t>
  </si>
  <si>
    <t xml:space="preserve">St. Mary Medical Center </t>
  </si>
  <si>
    <t>St. Luke's Hospital - Allentown Campus (Added to St. Luke's)</t>
  </si>
  <si>
    <t>St. Luke's Hospital - Anderson Campus (Added to St. Luke's)</t>
  </si>
  <si>
    <t>St. Mary Medical Center</t>
  </si>
  <si>
    <t>UT San Antonio</t>
  </si>
  <si>
    <t>UT Southwestern Medical Center</t>
  </si>
  <si>
    <t>The University of Texas Southwestern Medical Center</t>
  </si>
  <si>
    <t>Langhorne</t>
  </si>
  <si>
    <t>Morgantown</t>
  </si>
  <si>
    <t>Medical Faculaty Associates</t>
  </si>
  <si>
    <t>Mansfield Hospital- Ohio Health</t>
  </si>
  <si>
    <t>Doctors Hospital-Ohio Health</t>
  </si>
  <si>
    <t>Dublin Hospital- ohio health</t>
  </si>
  <si>
    <t>Ohio Health-Mansfield Hospital</t>
  </si>
  <si>
    <t>St. Luke's Hospital and Health Network (PA)-Bethlehem</t>
  </si>
  <si>
    <t>St. Luke's Hospital and Health Network (PA)-Allentown</t>
  </si>
  <si>
    <t>St. Luke's Hospital and Health Network (PA)-Anderson</t>
  </si>
  <si>
    <t>McLaren Flint-Macomb</t>
  </si>
  <si>
    <t>SVS Adds</t>
  </si>
  <si>
    <t>SVS Drops</t>
  </si>
  <si>
    <t>SNIS Adds</t>
  </si>
  <si>
    <t>SNIS Drops</t>
  </si>
  <si>
    <t>Cedars Sinai Medical Center</t>
  </si>
  <si>
    <t>Mansfield</t>
  </si>
  <si>
    <t>OhioHealth Mansfield Hospital</t>
  </si>
  <si>
    <t>St. Joseph Mercy Health System</t>
  </si>
  <si>
    <t>Premier Surgical Associates</t>
  </si>
  <si>
    <t>St Joseph Mercy Health System- Ann Arbor</t>
  </si>
  <si>
    <t xml:space="preserve">Holy Spirit - Geisinger </t>
  </si>
  <si>
    <t>Camp Hill</t>
  </si>
  <si>
    <t>Holy Spirit - Geisinger Affiliate</t>
  </si>
  <si>
    <t>Holy Spirit- Geisinger</t>
  </si>
  <si>
    <t>Saint Luke's Hospital of Kansas City</t>
  </si>
  <si>
    <t>UPMC Hamot Hospital (Remove DI)</t>
  </si>
  <si>
    <t>Jackson Madison Co. General Hospital- West TN Heart &amp; Vascular</t>
  </si>
  <si>
    <t>Ronald Reagan UCLA Medical Center (Add NVQI)</t>
  </si>
  <si>
    <t>Elkhart General Hospital</t>
  </si>
  <si>
    <t>Flint Hills Heart, Vascular, and Vein Clinic, LLC</t>
  </si>
  <si>
    <t>DF</t>
  </si>
  <si>
    <t>Flint Hills Heart, Vascular, and Vein Clinic, LLC (With DI)</t>
  </si>
  <si>
    <t>The Heart Hospital Baylor Denton</t>
  </si>
  <si>
    <t>Radiology Associates - Fox Valley</t>
  </si>
  <si>
    <t>MD Anderson Cancer Center (U of Texas)</t>
  </si>
  <si>
    <t>Neenah</t>
  </si>
  <si>
    <t>Elkhart</t>
  </si>
  <si>
    <t>Manhattan</t>
  </si>
  <si>
    <t>Lutheran Hospital of Indiana (IOM Health System)</t>
  </si>
  <si>
    <t>Fort Wayne</t>
  </si>
  <si>
    <t>UT Southwestern</t>
  </si>
  <si>
    <t>Covenant Health - Grey Nuns Hospital</t>
  </si>
  <si>
    <t>Edmonton, AB</t>
  </si>
  <si>
    <t xml:space="preserve">Centra Health </t>
  </si>
  <si>
    <t>Lovelace Medical Center</t>
  </si>
  <si>
    <t>SM</t>
  </si>
  <si>
    <t>Centura- St. Mary Corwin Medical Center</t>
  </si>
  <si>
    <t>St. Mary Corwin Medical Center (added to Centura)</t>
  </si>
  <si>
    <t>Puelbo</t>
  </si>
  <si>
    <t>Covenant Health</t>
  </si>
  <si>
    <t>Centura- St Mary Corwin Medical Center</t>
  </si>
  <si>
    <t>University Surgical Associates</t>
  </si>
  <si>
    <t>Chanttanooga</t>
  </si>
  <si>
    <t>Won</t>
  </si>
  <si>
    <t>Lahey Hospital and Medical Center</t>
  </si>
  <si>
    <t>University of Kentucky</t>
  </si>
  <si>
    <t>Lexington</t>
  </si>
  <si>
    <t>University of Kentucky/UK Healthcare</t>
  </si>
  <si>
    <t>Vascular Center of Northern Michigan</t>
  </si>
  <si>
    <t>Confluence Health</t>
  </si>
  <si>
    <t>Wenatchee</t>
  </si>
  <si>
    <t>MidMichigan Medical Center -Midland</t>
  </si>
  <si>
    <t>Medical University Hospital Authority (SC) (MUHA)</t>
  </si>
  <si>
    <t>St. Mary Medical Center (Drop CAS; Add TEVAR)</t>
  </si>
  <si>
    <t>Allegheny Clinic Vascular Surgery (added to Allegheny Health Network)</t>
  </si>
  <si>
    <t>Allegheny Health Network - Allegheny Clinic Vascular Surgery</t>
  </si>
  <si>
    <t>Allegheny Health Network</t>
  </si>
  <si>
    <t>Western Vascular Institute</t>
  </si>
  <si>
    <t>Mesa</t>
  </si>
  <si>
    <t>CISSSO</t>
  </si>
  <si>
    <t>SSM Health St. Mary's Madison</t>
  </si>
  <si>
    <t>AnMed Health</t>
  </si>
  <si>
    <t>Rutgers Robert Wood Johnson Medical School</t>
  </si>
  <si>
    <t>New Brunswick</t>
  </si>
  <si>
    <t>Tucson Medical Center</t>
  </si>
  <si>
    <t>Odessa</t>
  </si>
  <si>
    <t>Toronto</t>
  </si>
  <si>
    <t>Thunder Bay</t>
  </si>
  <si>
    <t>CISS Outaouasis</t>
  </si>
  <si>
    <t>Gilvydis Vein Clinic</t>
  </si>
  <si>
    <t>Sycamore</t>
  </si>
  <si>
    <t>John T. Mather Hospital</t>
  </si>
  <si>
    <t>Port Jefferson</t>
  </si>
  <si>
    <t>John T. Mather Memorial Hospital</t>
  </si>
  <si>
    <t>Mayo Clinic Health System -- Northwest Wisconsin Region, Inc.</t>
  </si>
  <si>
    <t>Eau Claire</t>
  </si>
  <si>
    <t>St. Charles Hospital</t>
  </si>
  <si>
    <t>Russell C. Lam MD PA</t>
  </si>
  <si>
    <t>Mayo Clinic -Wisconsin</t>
  </si>
  <si>
    <t>Rose Medical Center</t>
  </si>
  <si>
    <t xml:space="preserve">Excela Health </t>
  </si>
  <si>
    <t>Excela Health</t>
  </si>
  <si>
    <t>Greensburg</t>
  </si>
  <si>
    <t>Vanguard Vascular &amp; Vein</t>
  </si>
  <si>
    <t>Rowlett</t>
  </si>
  <si>
    <t>Regional Medical Center of Orangeburg</t>
  </si>
  <si>
    <t>K Francis Lee, MD PC</t>
  </si>
  <si>
    <t>Surgical Specialists of Central Florida</t>
  </si>
  <si>
    <t>Ocoee</t>
  </si>
  <si>
    <t>Lake Health</t>
  </si>
  <si>
    <t>Lake Health - West Medical Center</t>
  </si>
  <si>
    <t>Barnes Jewish Hospital</t>
  </si>
  <si>
    <t>Tampa Cardiovascular</t>
  </si>
  <si>
    <t>Oregon Health and Sciences University</t>
  </si>
  <si>
    <t>Excela Health (Adding Data Abstraction Services)</t>
  </si>
  <si>
    <t>$25.00 per case</t>
  </si>
  <si>
    <t>Rush Foundation Hospital</t>
  </si>
  <si>
    <t>Meridian</t>
  </si>
  <si>
    <t xml:space="preserve">University of Utah </t>
  </si>
  <si>
    <t>Piedmont Athens (Drop registries and change name)</t>
  </si>
  <si>
    <t>Piedmont Athens Regional Medical Center</t>
  </si>
  <si>
    <t>Gatineau</t>
  </si>
  <si>
    <t xml:space="preserve">Memorial City Medical Center (Memorial Hermann HS) </t>
  </si>
  <si>
    <t>Katy Hospital (Memorial Hermann HS)</t>
  </si>
  <si>
    <t>Northeast Hospital (Memorial Hermann HS)</t>
  </si>
  <si>
    <t>Greater Heights Hospital (Memorial Hermann HS)</t>
  </si>
  <si>
    <t>Southeast Hospital (Memorial Hermann HS)</t>
  </si>
  <si>
    <t>The Woodlands Hospital (Memorial Hermann HS)</t>
  </si>
  <si>
    <t>Southwest Hospital (Memorial Hermann HS)</t>
  </si>
  <si>
    <t>Texas Medical Center (Memorial Hermann HS)</t>
  </si>
  <si>
    <t>Memorial Hermann Memorial City Medical Center</t>
  </si>
  <si>
    <t>Memorial Hermann Katy Hospital</t>
  </si>
  <si>
    <t>Memorial Hermann Northeast Hospital</t>
  </si>
  <si>
    <t>Memorial Hermann Greater Heights Hospital</t>
  </si>
  <si>
    <t>Memorial Hermann Southeast Hospital</t>
  </si>
  <si>
    <t>Memorial Hermann The Woodlands Hospital</t>
  </si>
  <si>
    <t>Memorial Hermann Health - Southwest Hospital</t>
  </si>
  <si>
    <t>Memorial Hermann Health - Texas Medical Center</t>
  </si>
  <si>
    <t>Memorial Hermann Health- Katy Hospital</t>
  </si>
  <si>
    <t xml:space="preserve">Memorial Hermann Health - Northeast Hospital </t>
  </si>
  <si>
    <t>Memorial Hermann Health - Greater Heights Hospital</t>
  </si>
  <si>
    <t>Memorial Hermann Health - Southeast Hospital</t>
  </si>
  <si>
    <t>Memorial Hermann Health - Woodlands Hospital</t>
  </si>
  <si>
    <t>Memorial Hermann Health- Memorial City Med Ctr</t>
  </si>
  <si>
    <t>UPMC/UPP</t>
  </si>
  <si>
    <t>St. Luke's Episcopal-Presbyterian Hosptials (MO)</t>
  </si>
  <si>
    <t>UPMC/UPP (Add Data Import)</t>
  </si>
  <si>
    <t>Community Health Network (Com Heart &amp; Vascular Hospital)</t>
  </si>
  <si>
    <t>Baptist Health Louisville</t>
  </si>
  <si>
    <t xml:space="preserve">Baptist Health Louisville </t>
  </si>
  <si>
    <t>University of Southern California Keck Hospital</t>
  </si>
  <si>
    <t>Kennestone Hospital, Inc. (WellStar Health System, Inc.)</t>
  </si>
  <si>
    <t>Cobb Hospital, Inc. (WellStar Health System, Inc.)</t>
  </si>
  <si>
    <t>Marietta</t>
  </si>
  <si>
    <t>Allina Abbott Northwestern Hospital</t>
  </si>
  <si>
    <t>Vascular Institute of Michigan</t>
  </si>
  <si>
    <t xml:space="preserve">Vascular Institute of Michigan </t>
  </si>
  <si>
    <t>Lyerly Baptist Neurosurgery</t>
  </si>
  <si>
    <t>Memorial Hospital Central (UCHA)</t>
  </si>
  <si>
    <t>CJW Medical Center (Chippenham and Johnston-Willis)</t>
  </si>
  <si>
    <t xml:space="preserve">Spectrum Health </t>
  </si>
  <si>
    <t>Seattle Vascular Surgery</t>
  </si>
  <si>
    <t>Bronson Methodist Hospital</t>
  </si>
  <si>
    <t>Bronson Battle Creek Hospital</t>
  </si>
  <si>
    <t>Willis-Knighton North</t>
  </si>
  <si>
    <t>Saint Joseph Regional Medical Center (Drop DI and Registries)</t>
  </si>
  <si>
    <t>Duke University Health</t>
  </si>
  <si>
    <t>Rush Foundation</t>
  </si>
  <si>
    <t>Anderson Regional Medica Center</t>
  </si>
  <si>
    <t>SIH - Memorial Hospital of Carbondale</t>
  </si>
  <si>
    <t>Carbondale</t>
  </si>
  <si>
    <t>University of Iowa</t>
  </si>
  <si>
    <t>Iowa City</t>
  </si>
  <si>
    <t>Norton Healthcare, Inc. - NWCH - St. Matthews</t>
  </si>
  <si>
    <t>Norton Healthcare, Inc. - Norton - Audubon</t>
  </si>
  <si>
    <t>Norton Healthcare, Inc. - Norton - Downtown</t>
  </si>
  <si>
    <t>Norton Healthcare, Inc. - Norton - Brownsboro</t>
  </si>
  <si>
    <t>Audubon</t>
  </si>
  <si>
    <t>St. Matthews</t>
  </si>
  <si>
    <t>Brownsboro</t>
  </si>
  <si>
    <t>Northside Hospital</t>
  </si>
  <si>
    <t>Portsmouth Regional Hosp</t>
  </si>
  <si>
    <t>Portsmouth Regional Hospital</t>
  </si>
  <si>
    <t>Portsmouth</t>
  </si>
  <si>
    <t>Baton Rouge Medical Center</t>
  </si>
  <si>
    <t>University of Utah</t>
  </si>
  <si>
    <t>West Virginia University</t>
  </si>
  <si>
    <t>UCLA Ronald Reagan Medical Center</t>
  </si>
  <si>
    <t>Mayo Clinic Northwest Wisconsin Region, Inc.</t>
  </si>
  <si>
    <t>The Vascular Group</t>
  </si>
  <si>
    <t>Sarasota Memorial Healthcare System</t>
  </si>
  <si>
    <t>MultiCare Tacoma General Hospital</t>
  </si>
  <si>
    <t>MultiCare Good Samaritan Hospital</t>
  </si>
  <si>
    <t>Tacoma</t>
  </si>
  <si>
    <t>Emory St Joseph's Hospital</t>
  </si>
  <si>
    <t>Hackensack University Medical Center (Hackensack Meridian Health)</t>
  </si>
  <si>
    <t>Hackensack Meridian- Bayshore Community Hospital</t>
  </si>
  <si>
    <t>Hackensack Meridian- Jersey Shore University Medical Center</t>
  </si>
  <si>
    <t>Hackensack Meridian- Ocean Medical Center</t>
  </si>
  <si>
    <t>Hackensack Meridian- Riverview Medical Center</t>
  </si>
  <si>
    <t>Hackensack Meridian- Southern Ocean Medical Center</t>
  </si>
  <si>
    <t>Hackensack</t>
  </si>
  <si>
    <t>Hackensack Meridian- Hackensack University Medical Center</t>
  </si>
  <si>
    <t>Midwest Physician Alliance (Heart Care Center of Illinois - Premier Vascular, LLC)</t>
  </si>
  <si>
    <t>Palos Park</t>
  </si>
  <si>
    <t>WakeMed Health &amp; Hospitals -- Raleigh Campus</t>
  </si>
  <si>
    <t>WakeMed Health &amp; Hospitals -- Cary Campus</t>
  </si>
  <si>
    <t>Cary</t>
  </si>
  <si>
    <t>Oregon Vascular Specialists, LLC</t>
  </si>
  <si>
    <t>St. Lukes Episcopal Presbyterian Hospital (MO)</t>
  </si>
  <si>
    <t>Thomas Jefferson University Hospitals, Inc.</t>
  </si>
  <si>
    <t>Community Hospital Heart and Vascular</t>
  </si>
  <si>
    <t>Forrest General Hospital Vascular Services</t>
  </si>
  <si>
    <t>Hattiesburg</t>
  </si>
  <si>
    <t xml:space="preserve">Lee Memorial Health System (Gulf Coast Medical Center) </t>
  </si>
  <si>
    <t>Fort Meyers</t>
  </si>
  <si>
    <t>CANADIAN VASCULAR QUALITY INITIATIVE</t>
  </si>
  <si>
    <t>Canada</t>
  </si>
  <si>
    <t>Toledo Hospital - Jobst Vascular Institute</t>
  </si>
  <si>
    <t>Orlando Regional Medical Center (Orlando Health)</t>
  </si>
  <si>
    <t>South Seminole Hospital (Orlando Health)</t>
  </si>
  <si>
    <t>Dr. P. Phillips Hospital (Orlando Health)</t>
  </si>
  <si>
    <t>Roper St. Francis</t>
  </si>
  <si>
    <t>Southcoast Charlton Memorial Hospital</t>
  </si>
  <si>
    <t>Southcoast St. Luke's Hospital</t>
  </si>
  <si>
    <t>Henry County Medical Center</t>
  </si>
  <si>
    <t>Paris</t>
  </si>
  <si>
    <t>Doctor's Hospital (Ohio Health)</t>
  </si>
  <si>
    <t>Dublin Methodist Hospital (Ohio Health)</t>
  </si>
  <si>
    <t>Grant Medical Center (Ohio Health)</t>
  </si>
  <si>
    <t>Grady Memorial Hospital (Ohio Health)</t>
  </si>
  <si>
    <t>Marion General Hospital (Ohio Health)</t>
  </si>
  <si>
    <t>Riverside Methodist (Ohio Health)</t>
  </si>
  <si>
    <t>Adjusted for Ohio Health (Commissions paid in June)</t>
  </si>
  <si>
    <t>Oklahoma Heart Institute at Hillcrest Medical Center</t>
  </si>
  <si>
    <t>OK</t>
  </si>
  <si>
    <t>Tulsa</t>
  </si>
  <si>
    <t>The University of California Irvine Medical Center (Added to The University of California Health System)</t>
  </si>
  <si>
    <t>The University of California Irvine Medical Center</t>
  </si>
  <si>
    <t>Irvine</t>
  </si>
  <si>
    <t>Emory St. Joseph Hospital</t>
  </si>
  <si>
    <t>Heart Hospital of Lafayette</t>
  </si>
  <si>
    <t>The Medical Center, Navicent Health (The Medical Center of Central Georgia, Inc.)</t>
  </si>
  <si>
    <t>Macon</t>
  </si>
  <si>
    <t>Flint Hills Heart, Vascular, and Vein Clinic, LLC (Remove Data Import)</t>
  </si>
  <si>
    <t>Confluence Health (Add Data Import)</t>
  </si>
  <si>
    <t>?</t>
  </si>
  <si>
    <t>Memorial University Health Medical Center</t>
  </si>
  <si>
    <t>Vascular Institute of Chattanooga</t>
  </si>
  <si>
    <t>Chattanooga</t>
  </si>
  <si>
    <t>Lehigh Valley Hospital</t>
  </si>
  <si>
    <t>Sentara Martha Jefferson</t>
  </si>
  <si>
    <t xml:space="preserve">Piedmont Hospital, Inc. </t>
  </si>
  <si>
    <t>Piedmont Hospital, Inc.</t>
  </si>
  <si>
    <t xml:space="preserve">Midwest Institute Minimally Invasive Therapies </t>
  </si>
  <si>
    <t>Henry Ford Allegiance</t>
  </si>
  <si>
    <t>San Diego Vascular Associates</t>
  </si>
  <si>
    <t>St. Francis Medical Center (CHI Franciscan Health)</t>
  </si>
  <si>
    <t>St. Joseph Medical Center (CHI Franciscan Health)</t>
  </si>
  <si>
    <t>St. Anthony Medical Center (CHI Franciscan Health)</t>
  </si>
  <si>
    <t>Harrison Medical Center (CHI Franciscan Health)</t>
  </si>
  <si>
    <t xml:space="preserve">St. Elizabeth Medical Center </t>
  </si>
  <si>
    <t>Medstar Union Memorial Hospital (Medstar Health)</t>
  </si>
  <si>
    <t xml:space="preserve">MedStar Washington Hospital Center </t>
  </si>
  <si>
    <t xml:space="preserve">Medstar Union Memorial Hospital </t>
  </si>
  <si>
    <t>Medstar Washington Hospital Center</t>
  </si>
  <si>
    <t>Carolinas Healthcare - Sanger Heart and Vascular</t>
  </si>
  <si>
    <t>WakeMed Health &amp; Hospitals - Raleigh Campus</t>
  </si>
  <si>
    <t>WakeMed Health &amp; Hospitals - Cary Campus</t>
  </si>
  <si>
    <t xml:space="preserve">Concord Hospital * done at time of renewal </t>
  </si>
  <si>
    <t>Medstar Washinton Hosp (Medstar Health)</t>
  </si>
  <si>
    <t>Diagnostic Imaging of Milford</t>
  </si>
  <si>
    <t>Milford</t>
  </si>
  <si>
    <t>University Surgical Associates (aldo dropped Data Import)</t>
  </si>
  <si>
    <t>Harlingen Medical Center</t>
  </si>
  <si>
    <t>Harlingen</t>
  </si>
  <si>
    <t>St. Luke's Methodist Hospital (Unity Point)</t>
  </si>
  <si>
    <t>Cedar Rapids</t>
  </si>
  <si>
    <t>Central Florida Regional Hospital</t>
  </si>
  <si>
    <t>Sanford</t>
  </si>
  <si>
    <t xml:space="preserve">Hoag Memorial Hospital Presbyterian </t>
  </si>
  <si>
    <t>CHUM</t>
  </si>
  <si>
    <t>Montreal, QC</t>
  </si>
  <si>
    <t>VHS of Arrowhead, Inc. d/b/a Abrazo Arizona Heart Hospital</t>
  </si>
  <si>
    <t>Columbus Regional Hospital</t>
  </si>
  <si>
    <t>Vascular Associates of South Alabama</t>
  </si>
  <si>
    <t>Mobile</t>
  </si>
  <si>
    <t>Memorial Hospital of Laramie County d/b/a Cheyenne Regional Medical Center</t>
  </si>
  <si>
    <t>WY</t>
  </si>
  <si>
    <t>Arizona Endovascular Center</t>
  </si>
  <si>
    <t>Cheyenne</t>
  </si>
  <si>
    <t>Doylestown Hospital</t>
  </si>
  <si>
    <t>Doylestown</t>
  </si>
  <si>
    <t>St. Charles Heath System, Inc.</t>
  </si>
  <si>
    <t>St. Charles Health System, Inc.</t>
  </si>
  <si>
    <t>Tucscon</t>
  </si>
  <si>
    <t>MidMichigan</t>
  </si>
  <si>
    <t>Altru Health System (Amend to Reinstate Participation)</t>
  </si>
  <si>
    <t>ND</t>
  </si>
  <si>
    <t>Grand Forks</t>
  </si>
  <si>
    <t>Elliot Hospital (Add Manual Data Abstraction Services)</t>
  </si>
  <si>
    <t>Goshen Hospital</t>
  </si>
  <si>
    <t>University of Colorado Hospital - Denver (Add Manual Data Abstraction Services)</t>
  </si>
  <si>
    <t>Columbia University Irving Medical Center</t>
  </si>
  <si>
    <t>Hospital of Central Connecticut (Hartford Healthcare)</t>
  </si>
  <si>
    <t>New Britain</t>
  </si>
  <si>
    <t>Florida Hospital</t>
  </si>
  <si>
    <t>Gregory L. Nedurian, M.D., P.A.</t>
  </si>
  <si>
    <t>Siragusa</t>
  </si>
  <si>
    <t>Lakeland</t>
  </si>
  <si>
    <t>Hermitage</t>
  </si>
  <si>
    <t>Piedmont Athens Regional Medical Center, Inc.</t>
  </si>
  <si>
    <t>Pennsylvania Hospital</t>
  </si>
  <si>
    <t>Chester County Hospital</t>
  </si>
  <si>
    <t>Penn Presbyterian Medical Center</t>
  </si>
  <si>
    <t>West Chester</t>
  </si>
  <si>
    <t>Health Park Medical Center (Lee Memorial Health System)</t>
  </si>
  <si>
    <t xml:space="preserve">Celebration Health </t>
  </si>
  <si>
    <t>Celebration</t>
  </si>
  <si>
    <t>Mobile Infirmary Association DBA Mobile Infirmary</t>
  </si>
  <si>
    <t>Alexian Brothers Medical Center</t>
  </si>
  <si>
    <t>Elk Grove</t>
  </si>
  <si>
    <t>University of Colorado - Denver</t>
  </si>
  <si>
    <t>University of Colorado - North Vascular Services</t>
  </si>
  <si>
    <t>Delray Medical Center, Inc.</t>
  </si>
  <si>
    <t>Delray Beach</t>
  </si>
  <si>
    <t>OU Medicine, Inc. d/b/a OU Medical Center</t>
  </si>
  <si>
    <t>Oklahoma City</t>
  </si>
  <si>
    <t xml:space="preserve">Medstar Georgetown University Hospital </t>
  </si>
  <si>
    <t>PineHurst Surgical</t>
  </si>
  <si>
    <t>Pinehurst</t>
  </si>
  <si>
    <t>Steward St. Anne's Hospital Corporation</t>
  </si>
  <si>
    <t>Steward Good Samaritan Medical Center, Inc.</t>
  </si>
  <si>
    <t xml:space="preserve">Steward Trumbull Memorial Hospital, Inc. </t>
  </si>
  <si>
    <t>Brockton</t>
  </si>
  <si>
    <t>Warren</t>
  </si>
  <si>
    <t xml:space="preserve">SSM St. Anthony Hospital </t>
  </si>
  <si>
    <t>United Hospital Center</t>
  </si>
  <si>
    <t>Bridgeport</t>
  </si>
  <si>
    <t>Oklahoma Heart Hospital, LLC</t>
  </si>
  <si>
    <t>Oklahoma Heart Hospital South, LLC</t>
  </si>
  <si>
    <t>Loveland</t>
  </si>
  <si>
    <t>Loyola University Medical Center</t>
  </si>
  <si>
    <t>Maywood</t>
  </si>
  <si>
    <t>Cape Cod Hospital</t>
  </si>
  <si>
    <t>Hyannis</t>
  </si>
  <si>
    <t>Glens Falls Hospital</t>
  </si>
  <si>
    <t>Glens Falls</t>
  </si>
  <si>
    <t>Memorial Hermann Sugar Land</t>
  </si>
  <si>
    <t>Sugar Land</t>
  </si>
  <si>
    <t>Wadley Regional Medical Center</t>
  </si>
  <si>
    <t>Texarkana</t>
  </si>
  <si>
    <t>New Hanover Regional Medical Center</t>
  </si>
  <si>
    <t>Capital Health Medical Center - Hopewell</t>
  </si>
  <si>
    <t>Capital Health Regional Medical Center</t>
  </si>
  <si>
    <t>Pennington</t>
  </si>
  <si>
    <t>Trenton</t>
  </si>
  <si>
    <t>Western Maryland Health System</t>
  </si>
  <si>
    <t>Cumberland</t>
  </si>
  <si>
    <t>North Okaloosa Medical Center</t>
  </si>
  <si>
    <t>Crestview</t>
  </si>
  <si>
    <t>McLaren Bay Region</t>
  </si>
  <si>
    <t>Bay City</t>
  </si>
  <si>
    <t>Advocate Good Samaritan Hospital</t>
  </si>
  <si>
    <t>BSA Hospital</t>
  </si>
  <si>
    <t>Downers Grove</t>
  </si>
  <si>
    <t>Amarillo</t>
  </si>
  <si>
    <t>Orange Regional Medical Center</t>
  </si>
  <si>
    <t>Tenet Florida Physicians Services, LLC</t>
  </si>
  <si>
    <t>Boca Raton</t>
  </si>
  <si>
    <t>Middletown</t>
  </si>
  <si>
    <t>Nova Scotia Health Authority</t>
  </si>
  <si>
    <t>Kentville, Nova Scotia</t>
  </si>
  <si>
    <t>Englewood Hospital and Medical Center</t>
  </si>
  <si>
    <t>Cresskill</t>
  </si>
  <si>
    <t>St. Mary's Hospital (SCL Health)</t>
  </si>
  <si>
    <t>Grand Junction</t>
  </si>
  <si>
    <t>Saint Joseph Hospital (SCL Health)</t>
  </si>
  <si>
    <t>St. Vincent Healthcare (SCL Health)</t>
  </si>
  <si>
    <t xml:space="preserve">Integris Baptist Medical Center, Inc. </t>
  </si>
  <si>
    <t>Morton Plant Hospital (BayCare Health System)</t>
  </si>
  <si>
    <t>Clearwater</t>
  </si>
  <si>
    <t>St. Anthony's Hospital (BayCare Health System)</t>
  </si>
  <si>
    <t>Fairlawn Surgery Center</t>
  </si>
  <si>
    <t>Avera Heart Hospital of South Dakota</t>
  </si>
  <si>
    <t>Lancaster</t>
  </si>
  <si>
    <t>Hospital of the University of Pennsylvania</t>
  </si>
  <si>
    <t>Lancaster General Hospital</t>
  </si>
  <si>
    <t>Northeast Georgia Medical Center</t>
  </si>
  <si>
    <t xml:space="preserve">Emory St. Joseph's Hospital </t>
  </si>
  <si>
    <t>The University of Texas M.D. Anderson Cancer Center</t>
  </si>
  <si>
    <t>Associates in Vascular Care</t>
  </si>
  <si>
    <t>Stockton Cardiothoracic Surgical Medical Group</t>
  </si>
  <si>
    <t>Stockton</t>
  </si>
  <si>
    <t>Covenant Medical Center, Inc. D/B/A Covenant Healthcare</t>
  </si>
  <si>
    <t>Saginaw</t>
  </si>
  <si>
    <t>Vascular &amp; General Surgical Specialists of SWFL</t>
  </si>
  <si>
    <t xml:space="preserve">Good Samaritan Hospital (TriHealth, Inc.) </t>
  </si>
  <si>
    <t>Bethesda North Hospital (TriHealth, Inc.)</t>
  </si>
  <si>
    <t>Cincinnati</t>
  </si>
  <si>
    <t>Medstar Good Samaritan Hospital</t>
  </si>
  <si>
    <t>Prime Healthcare Foundation - Southern Regional Medical Center</t>
  </si>
  <si>
    <t>Riverdale</t>
  </si>
  <si>
    <t>White Plains Hospital</t>
  </si>
  <si>
    <t>Bayfront Health Seven Rivers</t>
  </si>
  <si>
    <t>White Plains</t>
  </si>
  <si>
    <t>Crystal River</t>
  </si>
  <si>
    <t>UPMC Altoona</t>
  </si>
  <si>
    <t>Altoona</t>
  </si>
  <si>
    <t>Orlando Health- Health Central Hospital</t>
  </si>
  <si>
    <t>Yavapai Regional Medical Center</t>
  </si>
  <si>
    <t>Prescott</t>
  </si>
  <si>
    <t>Florida Hospital Memorial Medical Center</t>
  </si>
  <si>
    <t>Saint Francis Medical Center</t>
  </si>
  <si>
    <t>Cape Girardeau</t>
  </si>
  <si>
    <t>Daytona Beach</t>
  </si>
  <si>
    <t>Scripps Mercy Hospital (Scripps Health)</t>
  </si>
  <si>
    <t xml:space="preserve">Arnot Health </t>
  </si>
  <si>
    <t>Elmira</t>
  </si>
  <si>
    <t>Memorialcare Saddleback Medical Center (Memorial Health Services)</t>
  </si>
  <si>
    <t>Memorialcare Long Beach Medical Center (Memorial Health Services)</t>
  </si>
  <si>
    <t>Laguna Hills</t>
  </si>
  <si>
    <t>Long Beach</t>
  </si>
  <si>
    <t>Fountain Valley</t>
  </si>
  <si>
    <t>Memorialcare Orange Coast Medical Center (Memorial Health Services)</t>
  </si>
  <si>
    <t>Singapore General Hospital Pte Ltd</t>
  </si>
  <si>
    <t>Lakeland Regional Medical Center</t>
  </si>
  <si>
    <t>Singapore</t>
  </si>
  <si>
    <t>Kansas Heart Hospital</t>
  </si>
  <si>
    <t>Witchita</t>
  </si>
  <si>
    <t>Medical Faculty Associates, Inc.</t>
  </si>
  <si>
    <t>Bayshore</t>
  </si>
  <si>
    <t xml:space="preserve">NSLIJ-Southside Hospital </t>
  </si>
  <si>
    <t>Evansville Surgical Associates</t>
  </si>
  <si>
    <t>Evansville</t>
  </si>
  <si>
    <t>Cookeville Regional Medical Center</t>
  </si>
  <si>
    <t>Cookeville</t>
  </si>
  <si>
    <t>Baylor Scott &amp; White Medical Center - Irving</t>
  </si>
  <si>
    <t>Irving</t>
  </si>
  <si>
    <t>West Jefferson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</si>
</sst>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/dd/yy;@"/>
    <numFmt numFmtId="167" formatCode="_-&quot;$&quot;* #,##0_-;\-&quot;$&quot;* #,##0_-;_-&quot;$&quot;* &quot;-&quot;??_-;_-@_-"/>
    <numFmt numFmtId="168" formatCode="mmmm\ yyyy"/>
    <numFmt numFmtId="169" formatCode="#,##0.00;[Red]#,##0.00"/>
    <numFmt numFmtId="170" formatCode="[$-409]d\-mmm\-yy;@"/>
    <numFmt numFmtId="171" formatCode="_-* #,##0_-;\-* #,##0_-;_-* &quot;-&quot;??_-;_-@_-"/>
    <numFmt numFmtId="172" formatCode="m/d/yy;@"/>
  </numFmts>
  <fonts count="7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Bell MT"/>
      <family val="1"/>
    </font>
    <font>
      <b/>
      <sz val="11"/>
      <name val="Calibri"/>
      <family val="2"/>
      <scheme val="minor"/>
    </font>
    <font>
      <sz val="11"/>
      <color rgb="FFFF0000"/>
      <name val="Bell MT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Bell MT"/>
      <family val="1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Bell MT"/>
      <family val="1"/>
    </font>
    <font>
      <b/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Book Antiqua"/>
      <family val="1"/>
    </font>
    <font>
      <i/>
      <sz val="11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Book Antiqua"/>
      <family val="1"/>
    </font>
    <font>
      <sz val="11"/>
      <color rgb="FFC00000"/>
      <name val="Calibri"/>
      <family val="2"/>
      <scheme val="minor"/>
    </font>
    <font>
      <sz val="11"/>
      <color theme="4" tint="-0.499984740745262"/>
      <name val="Book Antiqua"/>
      <family val="1"/>
    </font>
    <font>
      <b/>
      <sz val="11"/>
      <color theme="4" tint="-0.49998474074526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8ECA0"/>
        <bgColor indexed="64"/>
      </patternFill>
    </fill>
    <fill>
      <patternFill patternType="solid">
        <fgColor rgb="FFCAF6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F2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6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44" fontId="54" fillId="0" borderId="0" applyFont="0" applyFill="0" applyBorder="0" applyAlignment="0" applyProtection="0"/>
    <xf numFmtId="0" fontId="55" fillId="0" borderId="0"/>
    <xf numFmtId="0" fontId="56" fillId="21" borderId="0" applyNumberFormat="0" applyBorder="0" applyAlignment="0" applyProtection="0"/>
    <xf numFmtId="0" fontId="57" fillId="19" borderId="39" applyNumberFormat="0" applyAlignment="0" applyProtection="0"/>
    <xf numFmtId="0" fontId="58" fillId="20" borderId="39" applyNumberFormat="0" applyAlignment="0" applyProtection="0"/>
  </cellStyleXfs>
  <cellXfs count="76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0" fillId="0" borderId="1" xfId="2" applyFont="1" applyBorder="1"/>
    <xf numFmtId="0" fontId="1" fillId="0" borderId="0" xfId="0" applyFont="1" applyAlignment="1">
      <alignment horizontal="center"/>
    </xf>
    <xf numFmtId="164" fontId="0" fillId="0" borderId="0" xfId="2" applyFont="1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/>
    <xf numFmtId="17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2" applyFont="1" applyFill="1"/>
    <xf numFmtId="16" fontId="0" fillId="0" borderId="0" xfId="0" applyNumberFormat="1" applyFill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164" fontId="0" fillId="0" borderId="1" xfId="2" applyFont="1" applyFill="1" applyBorder="1"/>
    <xf numFmtId="0" fontId="12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166" fontId="12" fillId="7" borderId="5" xfId="0" applyNumberFormat="1" applyFont="1" applyFill="1" applyBorder="1" applyAlignment="1">
      <alignment horizontal="left" vertical="center" wrapText="1"/>
    </xf>
    <xf numFmtId="1" fontId="13" fillId="7" borderId="5" xfId="0" applyNumberFormat="1" applyFont="1" applyFill="1" applyBorder="1" applyAlignment="1">
      <alignment horizontal="center" vertical="center" wrapText="1"/>
    </xf>
    <xf numFmtId="165" fontId="12" fillId="7" borderId="5" xfId="3" applyFont="1" applyFill="1" applyBorder="1" applyAlignment="1">
      <alignment horizontal="left" vertical="center" wrapText="1"/>
    </xf>
    <xf numFmtId="166" fontId="12" fillId="7" borderId="5" xfId="3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6" fontId="15" fillId="0" borderId="1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wrapText="1"/>
    </xf>
    <xf numFmtId="165" fontId="16" fillId="0" borderId="1" xfId="3" applyFont="1" applyBorder="1" applyAlignment="1">
      <alignment horizontal="left" wrapText="1"/>
    </xf>
    <xf numFmtId="166" fontId="16" fillId="8" borderId="1" xfId="3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5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wrapText="1"/>
    </xf>
    <xf numFmtId="166" fontId="17" fillId="0" borderId="1" xfId="0" applyNumberFormat="1" applyFont="1" applyBorder="1" applyAlignment="1">
      <alignment horizontal="left" wrapText="1"/>
    </xf>
    <xf numFmtId="1" fontId="17" fillId="0" borderId="1" xfId="0" applyNumberFormat="1" applyFont="1" applyBorder="1" applyAlignment="1">
      <alignment horizontal="center" wrapText="1"/>
    </xf>
    <xf numFmtId="165" fontId="17" fillId="0" borderId="1" xfId="3" applyFont="1" applyBorder="1" applyAlignment="1">
      <alignment horizontal="left" wrapText="1"/>
    </xf>
    <xf numFmtId="166" fontId="17" fillId="8" borderId="1" xfId="3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7" fillId="0" borderId="9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wrapText="1"/>
    </xf>
    <xf numFmtId="166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wrapText="1"/>
    </xf>
    <xf numFmtId="164" fontId="0" fillId="0" borderId="1" xfId="2" applyFont="1" applyBorder="1" applyAlignment="1">
      <alignment horizontal="left" wrapText="1"/>
    </xf>
    <xf numFmtId="166" fontId="0" fillId="8" borderId="1" xfId="2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165" fontId="0" fillId="0" borderId="1" xfId="3" applyFont="1" applyBorder="1" applyAlignment="1">
      <alignment horizontal="left" wrapText="1"/>
    </xf>
    <xf numFmtId="166" fontId="0" fillId="8" borderId="1" xfId="3" applyNumberFormat="1" applyFont="1" applyFill="1" applyBorder="1" applyAlignment="1">
      <alignment horizontal="center" wrapText="1"/>
    </xf>
    <xf numFmtId="0" fontId="19" fillId="9" borderId="0" xfId="0" applyFont="1" applyFill="1"/>
    <xf numFmtId="0" fontId="19" fillId="0" borderId="0" xfId="0" applyFont="1"/>
    <xf numFmtId="0" fontId="0" fillId="9" borderId="0" xfId="0" applyFill="1"/>
    <xf numFmtId="165" fontId="17" fillId="0" borderId="1" xfId="3" applyFont="1" applyFill="1" applyBorder="1" applyAlignment="1">
      <alignment horizontal="left" wrapText="1"/>
    </xf>
    <xf numFmtId="165" fontId="17" fillId="6" borderId="1" xfId="3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6" fontId="0" fillId="8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6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left" wrapText="1"/>
    </xf>
    <xf numFmtId="166" fontId="0" fillId="8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166" fontId="0" fillId="0" borderId="5" xfId="0" applyNumberFormat="1" applyFont="1" applyBorder="1" applyAlignment="1">
      <alignment horizontal="left" wrapText="1"/>
    </xf>
    <xf numFmtId="1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left" wrapText="1"/>
    </xf>
    <xf numFmtId="166" fontId="0" fillId="9" borderId="5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20" fillId="10" borderId="8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wrapText="1"/>
    </xf>
    <xf numFmtId="166" fontId="0" fillId="10" borderId="1" xfId="0" applyNumberFormat="1" applyFont="1" applyFill="1" applyBorder="1" applyAlignment="1">
      <alignment horizontal="left" wrapText="1"/>
    </xf>
    <xf numFmtId="1" fontId="0" fillId="10" borderId="1" xfId="0" applyNumberFormat="1" applyFont="1" applyFill="1" applyBorder="1" applyAlignment="1">
      <alignment horizontal="center" wrapText="1"/>
    </xf>
    <xf numFmtId="164" fontId="0" fillId="10" borderId="1" xfId="0" applyNumberFormat="1" applyFont="1" applyFill="1" applyBorder="1" applyAlignment="1">
      <alignment horizontal="left" wrapText="1"/>
    </xf>
    <xf numFmtId="166" fontId="0" fillId="10" borderId="1" xfId="0" applyNumberFormat="1" applyFont="1" applyFill="1" applyBorder="1" applyAlignment="1">
      <alignment horizontal="center" wrapText="1"/>
    </xf>
    <xf numFmtId="0" fontId="0" fillId="10" borderId="2" xfId="0" applyFont="1" applyFill="1" applyBorder="1" applyAlignment="1">
      <alignment horizontal="left" wrapText="1"/>
    </xf>
    <xf numFmtId="0" fontId="0" fillId="10" borderId="14" xfId="0" applyFont="1" applyFill="1" applyBorder="1" applyAlignment="1">
      <alignment horizontal="center" wrapText="1"/>
    </xf>
    <xf numFmtId="166" fontId="18" fillId="0" borderId="1" xfId="0" applyNumberFormat="1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wrapText="1"/>
    </xf>
    <xf numFmtId="165" fontId="18" fillId="0" borderId="1" xfId="3" applyFont="1" applyFill="1" applyBorder="1" applyAlignment="1">
      <alignment horizontal="left" wrapText="1"/>
    </xf>
    <xf numFmtId="166" fontId="18" fillId="8" borderId="1" xfId="3" applyNumberFormat="1" applyFont="1" applyFill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18" fillId="0" borderId="14" xfId="0" applyFont="1" applyBorder="1" applyAlignment="1">
      <alignment horizontal="center" wrapText="1"/>
    </xf>
    <xf numFmtId="0" fontId="18" fillId="9" borderId="0" xfId="0" applyFont="1" applyFill="1"/>
    <xf numFmtId="0" fontId="18" fillId="0" borderId="0" xfId="0" applyFont="1"/>
    <xf numFmtId="0" fontId="18" fillId="0" borderId="2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6" fontId="18" fillId="0" borderId="1" xfId="0" applyNumberFormat="1" applyFont="1" applyFill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67" fontId="0" fillId="0" borderId="1" xfId="2" applyNumberFormat="1" applyFont="1" applyBorder="1" applyAlignment="1">
      <alignment horizontal="left" wrapText="1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wrapText="1"/>
    </xf>
    <xf numFmtId="167" fontId="23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10" borderId="1" xfId="0" applyFont="1" applyFill="1" applyBorder="1" applyAlignment="1">
      <alignment horizontal="left" wrapText="1"/>
    </xf>
    <xf numFmtId="0" fontId="0" fillId="10" borderId="16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167" fontId="11" fillId="0" borderId="1" xfId="0" applyNumberFormat="1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left" wrapText="1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wrapText="1"/>
    </xf>
    <xf numFmtId="0" fontId="0" fillId="10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10" borderId="15" xfId="0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10" borderId="18" xfId="0" applyFont="1" applyFill="1" applyBorder="1" applyAlignment="1">
      <alignment horizontal="center" wrapText="1"/>
    </xf>
    <xf numFmtId="0" fontId="18" fillId="9" borderId="3" xfId="0" applyFont="1" applyFill="1" applyBorder="1"/>
    <xf numFmtId="0" fontId="26" fillId="0" borderId="8" xfId="0" applyFont="1" applyBorder="1" applyAlignment="1">
      <alignment wrapText="1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wrapTex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wrapText="1"/>
    </xf>
    <xf numFmtId="0" fontId="2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6" fontId="0" fillId="8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167" fontId="1" fillId="0" borderId="1" xfId="2" applyNumberFormat="1" applyFont="1" applyBorder="1" applyAlignment="1">
      <alignment horizontal="left" wrapText="1"/>
    </xf>
    <xf numFmtId="166" fontId="18" fillId="9" borderId="1" xfId="0" applyNumberFormat="1" applyFont="1" applyFill="1" applyBorder="1" applyAlignment="1">
      <alignment horizontal="left" wrapText="1"/>
    </xf>
    <xf numFmtId="165" fontId="18" fillId="11" borderId="1" xfId="3" applyFont="1" applyFill="1" applyBorder="1" applyAlignment="1">
      <alignment horizontal="left" wrapText="1"/>
    </xf>
    <xf numFmtId="0" fontId="18" fillId="0" borderId="8" xfId="0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left" vertical="center" wrapText="1"/>
    </xf>
    <xf numFmtId="166" fontId="18" fillId="9" borderId="1" xfId="0" applyNumberFormat="1" applyFont="1" applyFill="1" applyBorder="1" applyAlignment="1">
      <alignment horizontal="left" vertical="center" wrapText="1"/>
    </xf>
    <xf numFmtId="165" fontId="18" fillId="0" borderId="1" xfId="3" applyFont="1" applyFill="1" applyBorder="1" applyAlignment="1">
      <alignment horizontal="left" vertical="center" wrapText="1"/>
    </xf>
    <xf numFmtId="166" fontId="18" fillId="8" borderId="1" xfId="3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0" fillId="9" borderId="0" xfId="0" applyFill="1" applyAlignment="1">
      <alignment vertical="center" wrapText="1"/>
    </xf>
    <xf numFmtId="166" fontId="18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9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6" fontId="18" fillId="6" borderId="1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9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65" fontId="18" fillId="0" borderId="1" xfId="3" applyFont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left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wrapText="1"/>
    </xf>
    <xf numFmtId="166" fontId="0" fillId="9" borderId="11" xfId="0" applyNumberFormat="1" applyFont="1" applyFill="1" applyBorder="1" applyAlignment="1">
      <alignment horizontal="left" wrapText="1"/>
    </xf>
    <xf numFmtId="1" fontId="0" fillId="9" borderId="11" xfId="0" applyNumberFormat="1" applyFont="1" applyFill="1" applyBorder="1" applyAlignment="1">
      <alignment horizontal="center" wrapText="1"/>
    </xf>
    <xf numFmtId="0" fontId="0" fillId="9" borderId="11" xfId="0" applyFont="1" applyFill="1" applyBorder="1" applyAlignment="1">
      <alignment horizontal="left" wrapText="1"/>
    </xf>
    <xf numFmtId="0" fontId="0" fillId="9" borderId="19" xfId="0" applyFont="1" applyFill="1" applyBorder="1" applyAlignment="1">
      <alignment horizontal="center" wrapText="1"/>
    </xf>
    <xf numFmtId="0" fontId="12" fillId="12" borderId="20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 wrapText="1"/>
    </xf>
    <xf numFmtId="166" fontId="12" fillId="12" borderId="22" xfId="0" applyNumberFormat="1" applyFont="1" applyFill="1" applyBorder="1" applyAlignment="1">
      <alignment horizontal="left" vertical="center" wrapText="1"/>
    </xf>
    <xf numFmtId="1" fontId="13" fillId="12" borderId="22" xfId="0" applyNumberFormat="1" applyFont="1" applyFill="1" applyBorder="1" applyAlignment="1">
      <alignment horizontal="center" vertical="center" wrapText="1"/>
    </xf>
    <xf numFmtId="165" fontId="12" fillId="12" borderId="22" xfId="3" applyFont="1" applyFill="1" applyBorder="1" applyAlignment="1">
      <alignment horizontal="left" vertical="center" wrapText="1"/>
    </xf>
    <xf numFmtId="166" fontId="12" fillId="12" borderId="22" xfId="3" applyNumberFormat="1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" fillId="9" borderId="0" xfId="0" applyFont="1" applyFill="1"/>
    <xf numFmtId="0" fontId="12" fillId="9" borderId="26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 wrapText="1"/>
    </xf>
    <xf numFmtId="166" fontId="12" fillId="9" borderId="28" xfId="0" applyNumberFormat="1" applyFont="1" applyFill="1" applyBorder="1" applyAlignment="1">
      <alignment horizontal="left" vertical="center" wrapText="1"/>
    </xf>
    <xf numFmtId="1" fontId="13" fillId="9" borderId="28" xfId="0" applyNumberFormat="1" applyFont="1" applyFill="1" applyBorder="1" applyAlignment="1">
      <alignment horizontal="center" vertical="center" wrapText="1"/>
    </xf>
    <xf numFmtId="165" fontId="12" fillId="9" borderId="28" xfId="3" applyFont="1" applyFill="1" applyBorder="1" applyAlignment="1">
      <alignment horizontal="left" vertical="center" wrapText="1"/>
    </xf>
    <xf numFmtId="166" fontId="12" fillId="9" borderId="28" xfId="3" applyNumberFormat="1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20" fillId="12" borderId="32" xfId="0" applyFont="1" applyFill="1" applyBorder="1" applyAlignment="1">
      <alignment horizontal="center" vertical="center"/>
    </xf>
    <xf numFmtId="17" fontId="30" fillId="12" borderId="32" xfId="0" applyNumberFormat="1" applyFont="1" applyFill="1" applyBorder="1" applyAlignment="1">
      <alignment wrapText="1"/>
    </xf>
    <xf numFmtId="166" fontId="0" fillId="12" borderId="33" xfId="0" applyNumberFormat="1" applyFont="1" applyFill="1" applyBorder="1" applyAlignment="1">
      <alignment horizontal="left" wrapText="1"/>
    </xf>
    <xf numFmtId="1" fontId="0" fillId="12" borderId="33" xfId="0" applyNumberFormat="1" applyFont="1" applyFill="1" applyBorder="1" applyAlignment="1">
      <alignment horizontal="center" wrapText="1"/>
    </xf>
    <xf numFmtId="164" fontId="0" fillId="12" borderId="33" xfId="0" applyNumberFormat="1" applyFont="1" applyFill="1" applyBorder="1" applyAlignment="1">
      <alignment horizontal="left" wrapText="1"/>
    </xf>
    <xf numFmtId="166" fontId="0" fillId="12" borderId="33" xfId="0" applyNumberFormat="1" applyFont="1" applyFill="1" applyBorder="1" applyAlignment="1">
      <alignment horizontal="center" wrapText="1"/>
    </xf>
    <xf numFmtId="0" fontId="0" fillId="12" borderId="33" xfId="0" applyFont="1" applyFill="1" applyBorder="1" applyAlignment="1">
      <alignment horizontal="left" wrapText="1"/>
    </xf>
    <xf numFmtId="0" fontId="0" fillId="12" borderId="15" xfId="0" applyFont="1" applyFill="1" applyBorder="1" applyAlignment="1">
      <alignment horizontal="center" wrapText="1"/>
    </xf>
    <xf numFmtId="166" fontId="18" fillId="6" borderId="1" xfId="0" applyNumberFormat="1" applyFont="1" applyFill="1" applyBorder="1" applyAlignment="1">
      <alignment horizontal="left" vertical="center" wrapText="1"/>
    </xf>
    <xf numFmtId="166" fontId="21" fillId="12" borderId="1" xfId="3" applyNumberFormat="1" applyFont="1" applyFill="1" applyBorder="1" applyAlignment="1">
      <alignment horizontal="center" vertical="center" wrapText="1"/>
    </xf>
    <xf numFmtId="166" fontId="18" fillId="12" borderId="1" xfId="3" applyNumberFormat="1" applyFont="1" applyFill="1" applyBorder="1" applyAlignment="1">
      <alignment horizontal="center" wrapText="1"/>
    </xf>
    <xf numFmtId="166" fontId="0" fillId="12" borderId="1" xfId="0" applyNumberFormat="1" applyFont="1" applyFill="1" applyBorder="1" applyAlignment="1">
      <alignment horizontal="center" wrapText="1"/>
    </xf>
    <xf numFmtId="166" fontId="0" fillId="12" borderId="1" xfId="2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6" fontId="0" fillId="9" borderId="1" xfId="0" applyNumberFormat="1" applyFont="1" applyFill="1" applyBorder="1" applyAlignment="1">
      <alignment horizontal="center" wrapText="1"/>
    </xf>
    <xf numFmtId="0" fontId="0" fillId="9" borderId="15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6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8" borderId="0" xfId="0" applyNumberFormat="1" applyFill="1" applyAlignment="1">
      <alignment horizontal="center"/>
    </xf>
    <xf numFmtId="0" fontId="0" fillId="0" borderId="34" xfId="0" applyBorder="1" applyAlignment="1">
      <alignment horizontal="center"/>
    </xf>
    <xf numFmtId="166" fontId="10" fillId="13" borderId="3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31" fillId="0" borderId="0" xfId="0" applyNumberFormat="1" applyFont="1" applyAlignment="1">
      <alignment horizontal="right" vertical="center" wrapText="1"/>
    </xf>
    <xf numFmtId="165" fontId="1" fillId="0" borderId="0" xfId="3" applyNumberFormat="1" applyFont="1" applyAlignment="1">
      <alignment horizontal="right" vertical="center" wrapText="1"/>
    </xf>
    <xf numFmtId="4" fontId="1" fillId="0" borderId="0" xfId="3" applyNumberFormat="1" applyFont="1" applyAlignment="1">
      <alignment horizontal="right" vertical="center" wrapText="1"/>
    </xf>
    <xf numFmtId="0" fontId="32" fillId="0" borderId="0" xfId="0" applyFont="1" applyAlignment="1">
      <alignment horizontal="center"/>
    </xf>
    <xf numFmtId="166" fontId="33" fillId="0" borderId="0" xfId="0" applyNumberFormat="1" applyFont="1" applyAlignment="1">
      <alignment horizontal="left" vertical="center" wrapText="1"/>
    </xf>
    <xf numFmtId="168" fontId="21" fillId="0" borderId="0" xfId="0" applyNumberFormat="1" applyFont="1" applyAlignment="1">
      <alignment vertical="center" wrapText="1"/>
    </xf>
    <xf numFmtId="0" fontId="32" fillId="0" borderId="0" xfId="0" applyFont="1" applyAlignment="1">
      <alignment wrapText="1"/>
    </xf>
    <xf numFmtId="1" fontId="34" fillId="0" borderId="0" xfId="0" applyNumberFormat="1" applyFont="1" applyAlignment="1">
      <alignment horizontal="right" vertical="center" wrapText="1"/>
    </xf>
    <xf numFmtId="165" fontId="35" fillId="0" borderId="0" xfId="3" applyNumberFormat="1" applyFont="1" applyAlignment="1">
      <alignment horizontal="right" vertical="center" wrapText="1"/>
    </xf>
    <xf numFmtId="4" fontId="35" fillId="0" borderId="0" xfId="3" applyNumberFormat="1" applyFont="1" applyAlignment="1">
      <alignment horizontal="right" vertical="center" wrapText="1"/>
    </xf>
    <xf numFmtId="166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top" wrapText="1"/>
    </xf>
    <xf numFmtId="14" fontId="36" fillId="0" borderId="0" xfId="0" applyNumberFormat="1" applyFont="1" applyAlignment="1">
      <alignment vertical="top" wrapText="1"/>
    </xf>
    <xf numFmtId="4" fontId="37" fillId="0" borderId="0" xfId="0" applyNumberFormat="1" applyFont="1" applyAlignment="1">
      <alignment horizontal="right" vertical="center" wrapText="1"/>
    </xf>
    <xf numFmtId="169" fontId="38" fillId="0" borderId="0" xfId="3" applyNumberFormat="1" applyFont="1" applyAlignment="1">
      <alignment horizontal="right" vertical="center" wrapText="1"/>
    </xf>
    <xf numFmtId="4" fontId="37" fillId="0" borderId="0" xfId="3" applyNumberFormat="1" applyFont="1" applyAlignment="1">
      <alignment horizontal="right" vertical="center" wrapText="1"/>
    </xf>
    <xf numFmtId="14" fontId="36" fillId="0" borderId="0" xfId="0" applyNumberFormat="1" applyFont="1" applyAlignment="1">
      <alignment vertical="center" wrapText="1"/>
    </xf>
    <xf numFmtId="4" fontId="37" fillId="0" borderId="0" xfId="2" applyNumberFormat="1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66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41" fillId="0" borderId="0" xfId="2" applyNumberFormat="1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1" fillId="0" borderId="0" xfId="0" applyFont="1"/>
    <xf numFmtId="4" fontId="42" fillId="0" borderId="0" xfId="0" applyNumberFormat="1" applyFont="1"/>
    <xf numFmtId="164" fontId="43" fillId="0" borderId="0" xfId="2" applyNumberFormat="1" applyFont="1"/>
    <xf numFmtId="43" fontId="37" fillId="0" borderId="0" xfId="2" applyNumberFormat="1" applyFont="1"/>
    <xf numFmtId="166" fontId="21" fillId="14" borderId="0" xfId="0" applyNumberFormat="1" applyFont="1" applyFill="1" applyAlignment="1">
      <alignment horizontal="left" vertical="center" wrapText="1"/>
    </xf>
    <xf numFmtId="0" fontId="21" fillId="14" borderId="0" xfId="0" applyFont="1" applyFill="1" applyAlignment="1">
      <alignment vertical="center" wrapText="1"/>
    </xf>
    <xf numFmtId="0" fontId="40" fillId="14" borderId="0" xfId="0" applyFont="1" applyFill="1" applyAlignment="1">
      <alignment wrapText="1"/>
    </xf>
    <xf numFmtId="0" fontId="0" fillId="14" borderId="0" xfId="0" applyFont="1" applyFill="1" applyAlignment="1">
      <alignment wrapText="1"/>
    </xf>
    <xf numFmtId="4" fontId="37" fillId="14" borderId="0" xfId="0" applyNumberFormat="1" applyFont="1" applyFill="1" applyAlignment="1">
      <alignment horizontal="right" vertical="center" wrapText="1"/>
    </xf>
    <xf numFmtId="164" fontId="41" fillId="14" borderId="0" xfId="2" applyNumberFormat="1" applyFont="1" applyFill="1" applyAlignment="1">
      <alignment horizontal="right" vertical="center" wrapText="1"/>
    </xf>
    <xf numFmtId="4" fontId="21" fillId="14" borderId="0" xfId="2" applyNumberFormat="1" applyFont="1" applyFill="1" applyAlignment="1">
      <alignment horizontal="right" vertical="center" wrapText="1"/>
    </xf>
    <xf numFmtId="166" fontId="37" fillId="14" borderId="0" xfId="0" applyNumberFormat="1" applyFont="1" applyFill="1" applyAlignment="1">
      <alignment horizontal="left" vertical="center" wrapText="1"/>
    </xf>
    <xf numFmtId="0" fontId="37" fillId="14" borderId="0" xfId="0" applyFont="1" applyFill="1" applyAlignment="1">
      <alignment vertical="center" wrapText="1"/>
    </xf>
    <xf numFmtId="164" fontId="1" fillId="14" borderId="0" xfId="2" applyNumberFormat="1" applyFont="1" applyFill="1" applyAlignment="1">
      <alignment horizontal="right" vertical="center" wrapText="1"/>
    </xf>
    <xf numFmtId="4" fontId="37" fillId="14" borderId="0" xfId="2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left" vertical="top" wrapText="1"/>
    </xf>
    <xf numFmtId="169" fontId="36" fillId="0" borderId="0" xfId="3" applyNumberFormat="1" applyFont="1" applyAlignment="1">
      <alignment horizontal="right" vertical="center" wrapText="1"/>
    </xf>
    <xf numFmtId="4" fontId="36" fillId="0" borderId="0" xfId="3" applyNumberFormat="1" applyFont="1" applyAlignment="1">
      <alignment horizontal="right" vertical="center" wrapText="1"/>
    </xf>
    <xf numFmtId="14" fontId="36" fillId="0" borderId="0" xfId="0" applyNumberFormat="1" applyFont="1" applyAlignment="1">
      <alignment horizontal="left" vertical="top" wrapText="1"/>
    </xf>
    <xf numFmtId="166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14" fontId="40" fillId="0" borderId="0" xfId="0" applyNumberFormat="1" applyFont="1" applyAlignment="1">
      <alignment wrapText="1"/>
    </xf>
    <xf numFmtId="0" fontId="19" fillId="14" borderId="0" xfId="0" applyFont="1" applyFill="1" applyAlignment="1">
      <alignment wrapText="1"/>
    </xf>
    <xf numFmtId="4" fontId="36" fillId="14" borderId="0" xfId="3" applyNumberFormat="1" applyFont="1" applyFill="1" applyAlignment="1">
      <alignment horizontal="right" vertical="center" wrapText="1"/>
    </xf>
    <xf numFmtId="4" fontId="21" fillId="14" borderId="0" xfId="3" applyNumberFormat="1" applyFont="1" applyFill="1" applyAlignment="1">
      <alignment horizontal="right" vertical="center" wrapText="1"/>
    </xf>
    <xf numFmtId="14" fontId="37" fillId="14" borderId="0" xfId="0" applyNumberFormat="1" applyFont="1" applyFill="1" applyAlignment="1">
      <alignment wrapText="1"/>
    </xf>
    <xf numFmtId="165" fontId="36" fillId="14" borderId="0" xfId="3" applyNumberFormat="1" applyFont="1" applyFill="1" applyAlignment="1">
      <alignment horizontal="right" vertical="center" wrapText="1"/>
    </xf>
    <xf numFmtId="4" fontId="37" fillId="14" borderId="0" xfId="3" applyNumberFormat="1" applyFont="1" applyFill="1" applyAlignment="1">
      <alignment horizontal="right" vertical="center" wrapText="1"/>
    </xf>
    <xf numFmtId="165" fontId="36" fillId="0" borderId="0" xfId="3" applyNumberFormat="1" applyFont="1" applyAlignment="1">
      <alignment horizontal="right" vertical="center" wrapText="1"/>
    </xf>
    <xf numFmtId="0" fontId="44" fillId="0" borderId="0" xfId="0" applyFont="1" applyAlignment="1">
      <alignment horizontal="left" vertical="top" wrapText="1"/>
    </xf>
    <xf numFmtId="166" fontId="36" fillId="6" borderId="0" xfId="0" applyNumberFormat="1" applyFont="1" applyFill="1" applyAlignment="1">
      <alignment horizontal="left" vertical="center" wrapText="1"/>
    </xf>
    <xf numFmtId="0" fontId="36" fillId="6" borderId="0" xfId="0" applyFont="1" applyFill="1" applyAlignment="1">
      <alignment horizontal="left" vertical="top" wrapText="1"/>
    </xf>
    <xf numFmtId="14" fontId="36" fillId="6" borderId="0" xfId="0" applyNumberFormat="1" applyFont="1" applyFill="1" applyAlignment="1">
      <alignment horizontal="left" vertical="top" wrapText="1"/>
    </xf>
    <xf numFmtId="4" fontId="37" fillId="6" borderId="0" xfId="0" applyNumberFormat="1" applyFont="1" applyFill="1" applyAlignment="1">
      <alignment horizontal="right" vertical="center" wrapText="1"/>
    </xf>
    <xf numFmtId="169" fontId="36" fillId="6" borderId="0" xfId="3" applyNumberFormat="1" applyFont="1" applyFill="1" applyAlignment="1">
      <alignment horizontal="right" vertical="center" wrapText="1"/>
    </xf>
    <xf numFmtId="4" fontId="37" fillId="6" borderId="0" xfId="3" applyNumberFormat="1" applyFont="1" applyFill="1" applyAlignment="1">
      <alignment horizontal="right" vertical="center" wrapText="1"/>
    </xf>
    <xf numFmtId="0" fontId="1" fillId="6" borderId="0" xfId="0" applyFont="1" applyFill="1"/>
    <xf numFmtId="166" fontId="46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top" wrapText="1"/>
    </xf>
    <xf numFmtId="14" fontId="46" fillId="0" borderId="0" xfId="0" applyNumberFormat="1" applyFont="1" applyAlignment="1">
      <alignment horizontal="left" vertical="top" wrapText="1"/>
    </xf>
    <xf numFmtId="4" fontId="42" fillId="0" borderId="0" xfId="0" applyNumberFormat="1" applyFont="1" applyAlignment="1">
      <alignment horizontal="right" vertical="center" wrapText="1"/>
    </xf>
    <xf numFmtId="169" fontId="46" fillId="0" borderId="0" xfId="3" applyNumberFormat="1" applyFont="1" applyAlignment="1">
      <alignment horizontal="right" vertical="center" wrapText="1"/>
    </xf>
    <xf numFmtId="4" fontId="42" fillId="0" borderId="0" xfId="3" applyNumberFormat="1" applyFont="1" applyAlignment="1">
      <alignment horizontal="righ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37" fillId="14" borderId="0" xfId="0" applyFont="1" applyFill="1" applyAlignment="1">
      <alignment wrapText="1"/>
    </xf>
    <xf numFmtId="165" fontId="37" fillId="14" borderId="0" xfId="3" applyNumberFormat="1" applyFont="1" applyFill="1" applyAlignment="1">
      <alignment horizontal="right" vertical="center" wrapText="1"/>
    </xf>
    <xf numFmtId="0" fontId="37" fillId="0" borderId="0" xfId="0" applyFont="1" applyAlignment="1">
      <alignment wrapText="1"/>
    </xf>
    <xf numFmtId="14" fontId="37" fillId="0" borderId="0" xfId="0" applyNumberFormat="1" applyFont="1" applyAlignment="1">
      <alignment wrapText="1"/>
    </xf>
    <xf numFmtId="165" fontId="37" fillId="0" borderId="0" xfId="3" applyNumberFormat="1" applyFont="1" applyAlignment="1">
      <alignment horizontal="right" vertical="center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wrapText="1"/>
    </xf>
    <xf numFmtId="169" fontId="44" fillId="0" borderId="0" xfId="3" applyNumberFormat="1" applyFont="1" applyAlignment="1">
      <alignment horizontal="right" vertical="center" wrapText="1"/>
    </xf>
    <xf numFmtId="168" fontId="36" fillId="0" borderId="0" xfId="0" applyNumberFormat="1" applyFont="1" applyAlignment="1">
      <alignment vertical="center" wrapText="1"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37" fillId="0" borderId="0" xfId="0" applyNumberFormat="1" applyFont="1" applyFill="1" applyAlignment="1">
      <alignment horizontal="right" vertical="center" wrapText="1"/>
    </xf>
    <xf numFmtId="164" fontId="1" fillId="0" borderId="0" xfId="2" applyNumberFormat="1" applyFont="1" applyFill="1" applyAlignment="1">
      <alignment horizontal="right" vertical="center" wrapText="1"/>
    </xf>
    <xf numFmtId="4" fontId="1" fillId="0" borderId="0" xfId="2" applyNumberFormat="1" applyFont="1" applyFill="1" applyAlignment="1">
      <alignment horizontal="right" vertical="center" wrapText="1"/>
    </xf>
    <xf numFmtId="0" fontId="46" fillId="0" borderId="0" xfId="0" applyFont="1" applyAlignment="1">
      <alignment wrapText="1"/>
    </xf>
    <xf numFmtId="14" fontId="46" fillId="0" borderId="0" xfId="0" applyNumberFormat="1" applyFont="1" applyAlignment="1">
      <alignment wrapText="1"/>
    </xf>
    <xf numFmtId="0" fontId="18" fillId="0" borderId="0" xfId="0" applyFont="1" applyFill="1" applyAlignment="1">
      <alignment wrapText="1"/>
    </xf>
    <xf numFmtId="14" fontId="18" fillId="0" borderId="0" xfId="0" applyNumberFormat="1" applyFont="1" applyFill="1" applyAlignment="1">
      <alignment wrapText="1"/>
    </xf>
    <xf numFmtId="165" fontId="21" fillId="0" borderId="0" xfId="3" applyNumberFormat="1" applyFont="1" applyFill="1" applyAlignment="1">
      <alignment horizontal="right" vertical="center" wrapText="1"/>
    </xf>
    <xf numFmtId="4" fontId="21" fillId="0" borderId="0" xfId="3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horizontal="left" wrapText="1"/>
    </xf>
    <xf numFmtId="14" fontId="36" fillId="0" borderId="0" xfId="0" applyNumberFormat="1" applyFont="1" applyFill="1" applyAlignment="1">
      <alignment wrapText="1"/>
    </xf>
    <xf numFmtId="165" fontId="36" fillId="0" borderId="0" xfId="3" applyNumberFormat="1" applyFont="1" applyFill="1" applyAlignment="1">
      <alignment horizontal="right" vertical="center" wrapText="1"/>
    </xf>
    <xf numFmtId="4" fontId="37" fillId="0" borderId="0" xfId="3" applyNumberFormat="1" applyFont="1" applyFill="1" applyAlignment="1">
      <alignment horizontal="right" vertical="center" wrapText="1"/>
    </xf>
    <xf numFmtId="0" fontId="36" fillId="0" borderId="0" xfId="0" applyFont="1"/>
    <xf numFmtId="14" fontId="36" fillId="0" borderId="0" xfId="0" applyNumberFormat="1" applyFont="1"/>
    <xf numFmtId="14" fontId="33" fillId="14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0" fontId="36" fillId="0" borderId="0" xfId="0" applyFont="1" applyFill="1" applyAlignment="1">
      <alignment wrapText="1"/>
    </xf>
    <xf numFmtId="165" fontId="37" fillId="0" borderId="0" xfId="3" applyNumberFormat="1" applyFont="1" applyFill="1" applyAlignment="1">
      <alignment horizontal="right" vertical="center" wrapText="1"/>
    </xf>
    <xf numFmtId="168" fontId="33" fillId="0" borderId="0" xfId="0" applyNumberFormat="1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wrapText="1"/>
    </xf>
    <xf numFmtId="166" fontId="40" fillId="0" borderId="0" xfId="0" applyNumberFormat="1" applyFont="1" applyAlignment="1">
      <alignment horizontal="center" vertical="center" wrapText="1"/>
    </xf>
    <xf numFmtId="166" fontId="21" fillId="14" borderId="0" xfId="0" applyNumberFormat="1" applyFont="1" applyFill="1" applyAlignment="1">
      <alignment horizontal="center" vertical="center" wrapText="1"/>
    </xf>
    <xf numFmtId="166" fontId="37" fillId="14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Alignment="1">
      <alignment horizontal="center" vertical="center" wrapText="1"/>
    </xf>
    <xf numFmtId="168" fontId="46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" fontId="49" fillId="0" borderId="0" xfId="0" applyNumberFormat="1" applyFont="1" applyAlignment="1">
      <alignment horizontal="right" vertical="center" wrapText="1"/>
    </xf>
    <xf numFmtId="165" fontId="49" fillId="0" borderId="0" xfId="3" applyNumberFormat="1" applyFont="1" applyAlignment="1">
      <alignment horizontal="right" vertical="center" wrapText="1"/>
    </xf>
    <xf numFmtId="4" fontId="49" fillId="0" borderId="0" xfId="3" applyNumberFormat="1" applyFont="1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168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4" fontId="5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5" fontId="50" fillId="0" borderId="0" xfId="3" applyNumberFormat="1" applyFont="1" applyAlignment="1">
      <alignment horizontal="right" vertical="center" wrapText="1"/>
    </xf>
    <xf numFmtId="4" fontId="50" fillId="0" borderId="0" xfId="3" applyNumberFormat="1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169" fontId="50" fillId="0" borderId="0" xfId="3" applyNumberFormat="1" applyFont="1" applyAlignment="1">
      <alignment horizontal="right" vertical="center" wrapText="1"/>
    </xf>
    <xf numFmtId="14" fontId="46" fillId="0" borderId="0" xfId="0" applyNumberFormat="1" applyFont="1" applyAlignment="1">
      <alignment horizontal="left" vertical="center" wrapText="1"/>
    </xf>
    <xf numFmtId="166" fontId="33" fillId="0" borderId="0" xfId="0" applyNumberFormat="1" applyFont="1" applyAlignment="1">
      <alignment vertical="center" wrapText="1"/>
    </xf>
    <xf numFmtId="168" fontId="46" fillId="0" borderId="0" xfId="0" applyNumberFormat="1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6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164" fontId="36" fillId="0" borderId="0" xfId="2" applyNumberFormat="1" applyFont="1" applyFill="1" applyAlignment="1">
      <alignment vertical="center" wrapText="1"/>
    </xf>
    <xf numFmtId="4" fontId="36" fillId="0" borderId="0" xfId="2" applyNumberFormat="1" applyFont="1" applyFill="1" applyAlignment="1">
      <alignment vertical="center" wrapText="1"/>
    </xf>
    <xf numFmtId="0" fontId="46" fillId="0" borderId="0" xfId="0" applyFont="1" applyFill="1" applyAlignment="1">
      <alignment wrapText="1"/>
    </xf>
    <xf numFmtId="164" fontId="36" fillId="0" borderId="0" xfId="2" applyNumberFormat="1" applyFont="1" applyFill="1" applyAlignment="1">
      <alignment horizontal="right" vertical="center" wrapText="1"/>
    </xf>
    <xf numFmtId="4" fontId="36" fillId="0" borderId="0" xfId="2" applyNumberFormat="1" applyFont="1" applyFill="1" applyAlignment="1">
      <alignment horizontal="right" vertical="center" wrapText="1"/>
    </xf>
    <xf numFmtId="0" fontId="36" fillId="0" borderId="0" xfId="0" applyFont="1" applyAlignment="1">
      <alignment wrapText="1"/>
    </xf>
    <xf numFmtId="0" fontId="44" fillId="0" borderId="0" xfId="0" applyFont="1" applyAlignment="1">
      <alignment horizontal="right" vertical="center" wrapText="1"/>
    </xf>
    <xf numFmtId="0" fontId="40" fillId="0" borderId="0" xfId="0" applyFont="1"/>
    <xf numFmtId="166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1" fontId="37" fillId="0" borderId="0" xfId="0" applyNumberFormat="1" applyFont="1" applyFill="1" applyAlignment="1">
      <alignment horizontal="right" wrapText="1"/>
    </xf>
    <xf numFmtId="165" fontId="21" fillId="0" borderId="0" xfId="3" applyNumberFormat="1" applyFont="1" applyFill="1" applyAlignment="1">
      <alignment horizontal="right" wrapText="1"/>
    </xf>
    <xf numFmtId="4" fontId="21" fillId="0" borderId="0" xfId="3" applyNumberFormat="1" applyFont="1" applyFill="1" applyAlignment="1">
      <alignment horizontal="right" wrapText="1"/>
    </xf>
    <xf numFmtId="166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wrapText="1"/>
    </xf>
    <xf numFmtId="165" fontId="19" fillId="0" borderId="0" xfId="3" applyNumberFormat="1" applyFont="1" applyFill="1" applyAlignment="1">
      <alignment horizontal="right" wrapText="1"/>
    </xf>
    <xf numFmtId="4" fontId="19" fillId="0" borderId="0" xfId="3" applyNumberFormat="1" applyFont="1" applyFill="1" applyAlignment="1">
      <alignment horizontal="right" wrapText="1"/>
    </xf>
    <xf numFmtId="16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67" fontId="1" fillId="0" borderId="0" xfId="2" applyNumberFormat="1" applyFont="1" applyFill="1" applyAlignment="1">
      <alignment horizontal="right" wrapText="1"/>
    </xf>
    <xf numFmtId="4" fontId="1" fillId="0" borderId="0" xfId="2" applyNumberFormat="1" applyFont="1" applyFill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horizontal="right" wrapText="1"/>
    </xf>
    <xf numFmtId="1" fontId="37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36" fillId="15" borderId="0" xfId="0" applyFont="1" applyFill="1" applyAlignment="1">
      <alignment vertical="center"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165" fontId="18" fillId="0" borderId="1" xfId="3" applyFont="1" applyBorder="1" applyAlignment="1">
      <alignment horizontal="left" wrapText="1"/>
    </xf>
    <xf numFmtId="170" fontId="9" fillId="0" borderId="1" xfId="0" applyNumberFormat="1" applyFont="1" applyBorder="1" applyAlignment="1">
      <alignment horizontal="center"/>
    </xf>
    <xf numFmtId="170" fontId="0" fillId="0" borderId="1" xfId="0" applyNumberFormat="1" applyBorder="1"/>
    <xf numFmtId="170" fontId="0" fillId="0" borderId="0" xfId="0" applyNumberFormat="1"/>
    <xf numFmtId="170" fontId="0" fillId="6" borderId="1" xfId="0" applyNumberFormat="1" applyFill="1" applyBorder="1"/>
    <xf numFmtId="167" fontId="0" fillId="0" borderId="1" xfId="2" applyNumberFormat="1" applyFont="1" applyBorder="1"/>
    <xf numFmtId="167" fontId="0" fillId="0" borderId="1" xfId="2" applyNumberFormat="1" applyFont="1" applyFill="1" applyBorder="1"/>
    <xf numFmtId="4" fontId="44" fillId="0" borderId="0" xfId="0" applyNumberFormat="1" applyFont="1" applyAlignment="1">
      <alignment horizontal="right" vertical="center" wrapText="1"/>
    </xf>
    <xf numFmtId="165" fontId="44" fillId="0" borderId="0" xfId="3" applyFont="1" applyAlignment="1">
      <alignment horizontal="right" vertical="center" wrapText="1"/>
    </xf>
    <xf numFmtId="0" fontId="18" fillId="0" borderId="8" xfId="0" applyFont="1" applyBorder="1" applyAlignment="1"/>
    <xf numFmtId="0" fontId="1" fillId="0" borderId="0" xfId="0" applyFont="1" applyFill="1"/>
    <xf numFmtId="0" fontId="0" fillId="0" borderId="0" xfId="0" applyFont="1" applyFill="1"/>
    <xf numFmtId="171" fontId="0" fillId="0" borderId="0" xfId="3" applyNumberFormat="1" applyFont="1" applyFill="1"/>
    <xf numFmtId="171" fontId="0" fillId="0" borderId="1" xfId="3" applyNumberFormat="1" applyFont="1" applyFill="1" applyBorder="1"/>
    <xf numFmtId="0" fontId="0" fillId="0" borderId="0" xfId="0" applyFont="1" applyFill="1" applyBorder="1"/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wrapText="1"/>
    </xf>
    <xf numFmtId="166" fontId="1" fillId="16" borderId="1" xfId="0" applyNumberFormat="1" applyFont="1" applyFill="1" applyBorder="1" applyAlignment="1">
      <alignment horizontal="left" vertical="center" wrapText="1"/>
    </xf>
    <xf numFmtId="166" fontId="1" fillId="16" borderId="1" xfId="3" applyNumberFormat="1" applyFont="1" applyFill="1" applyBorder="1" applyAlignment="1">
      <alignment horizontal="center" vertical="center" wrapText="1"/>
    </xf>
    <xf numFmtId="165" fontId="1" fillId="16" borderId="1" xfId="3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167" fontId="0" fillId="0" borderId="0" xfId="2" applyNumberFormat="1" applyFont="1" applyFill="1" applyBorder="1"/>
    <xf numFmtId="172" fontId="0" fillId="0" borderId="1" xfId="0" applyNumberFormat="1" applyFont="1" applyFill="1" applyBorder="1"/>
    <xf numFmtId="172" fontId="0" fillId="0" borderId="1" xfId="2" applyNumberFormat="1" applyFont="1" applyFill="1" applyBorder="1"/>
    <xf numFmtId="171" fontId="1" fillId="16" borderId="1" xfId="3" applyNumberFormat="1" applyFont="1" applyFill="1" applyBorder="1" applyAlignment="1">
      <alignment horizontal="center" vertical="center" wrapText="1"/>
    </xf>
    <xf numFmtId="171" fontId="0" fillId="0" borderId="0" xfId="3" applyNumberFormat="1" applyFont="1" applyFill="1" applyBorder="1"/>
    <xf numFmtId="0" fontId="0" fillId="16" borderId="37" xfId="0" applyFont="1" applyFill="1" applyBorder="1"/>
    <xf numFmtId="164" fontId="0" fillId="0" borderId="0" xfId="0" applyNumberFormat="1" applyFont="1" applyFill="1"/>
    <xf numFmtId="0" fontId="0" fillId="16" borderId="36" xfId="0" applyFont="1" applyFill="1" applyBorder="1"/>
    <xf numFmtId="171" fontId="0" fillId="16" borderId="37" xfId="0" applyNumberFormat="1" applyFont="1" applyFill="1" applyBorder="1"/>
    <xf numFmtId="164" fontId="8" fillId="16" borderId="37" xfId="2" applyFont="1" applyFill="1" applyBorder="1"/>
    <xf numFmtId="0" fontId="10" fillId="17" borderId="36" xfId="0" applyFont="1" applyFill="1" applyBorder="1"/>
    <xf numFmtId="0" fontId="51" fillId="17" borderId="37" xfId="0" applyFont="1" applyFill="1" applyBorder="1"/>
    <xf numFmtId="171" fontId="10" fillId="17" borderId="37" xfId="0" applyNumberFormat="1" applyFont="1" applyFill="1" applyBorder="1"/>
    <xf numFmtId="164" fontId="10" fillId="17" borderId="37" xfId="2" applyFont="1" applyFill="1" applyBorder="1"/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/>
    <xf numFmtId="172" fontId="0" fillId="3" borderId="1" xfId="0" applyNumberFormat="1" applyFont="1" applyFill="1" applyBorder="1"/>
    <xf numFmtId="172" fontId="0" fillId="3" borderId="1" xfId="2" applyNumberFormat="1" applyFont="1" applyFill="1" applyBorder="1"/>
    <xf numFmtId="171" fontId="0" fillId="3" borderId="1" xfId="3" applyNumberFormat="1" applyFont="1" applyFill="1" applyBorder="1"/>
    <xf numFmtId="164" fontId="1" fillId="3" borderId="1" xfId="2" applyFont="1" applyFill="1" applyBorder="1"/>
    <xf numFmtId="0" fontId="1" fillId="16" borderId="1" xfId="0" applyFont="1" applyFill="1" applyBorder="1" applyAlignment="1">
      <alignment horizontal="center"/>
    </xf>
    <xf numFmtId="171" fontId="8" fillId="16" borderId="37" xfId="3" applyNumberFormat="1" applyFont="1" applyFill="1" applyBorder="1"/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/>
    <xf numFmtId="172" fontId="0" fillId="9" borderId="1" xfId="0" applyNumberFormat="1" applyFont="1" applyFill="1" applyBorder="1"/>
    <xf numFmtId="172" fontId="0" fillId="9" borderId="1" xfId="2" applyNumberFormat="1" applyFont="1" applyFill="1" applyBorder="1"/>
    <xf numFmtId="171" fontId="0" fillId="9" borderId="1" xfId="3" applyNumberFormat="1" applyFont="1" applyFill="1" applyBorder="1"/>
    <xf numFmtId="164" fontId="0" fillId="9" borderId="1" xfId="2" applyFont="1" applyFill="1" applyBorder="1"/>
    <xf numFmtId="0" fontId="0" fillId="9" borderId="0" xfId="0" applyFont="1" applyFill="1"/>
    <xf numFmtId="0" fontId="0" fillId="0" borderId="0" xfId="0" applyFont="1" applyFill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3" xfId="0" applyFont="1" applyFill="1" applyBorder="1" applyAlignment="1">
      <alignment wrapText="1"/>
    </xf>
    <xf numFmtId="1" fontId="0" fillId="3" borderId="1" xfId="2" applyNumberFormat="1" applyFont="1" applyFill="1" applyBorder="1"/>
    <xf numFmtId="2" fontId="0" fillId="0" borderId="1" xfId="2" applyNumberFormat="1" applyFont="1" applyFill="1" applyBorder="1"/>
    <xf numFmtId="0" fontId="0" fillId="14" borderId="1" xfId="0" applyFill="1" applyBorder="1"/>
    <xf numFmtId="4" fontId="0" fillId="3" borderId="1" xfId="2" applyNumberFormat="1" applyFont="1" applyFill="1" applyBorder="1"/>
    <xf numFmtId="0" fontId="0" fillId="3" borderId="1" xfId="0" applyNumberFormat="1" applyFont="1" applyFill="1" applyBorder="1"/>
    <xf numFmtId="167" fontId="1" fillId="3" borderId="1" xfId="2" applyNumberFormat="1" applyFont="1" applyFill="1" applyBorder="1"/>
    <xf numFmtId="171" fontId="1" fillId="3" borderId="1" xfId="3" applyNumberFormat="1" applyFont="1" applyFill="1" applyBorder="1"/>
    <xf numFmtId="41" fontId="0" fillId="3" borderId="1" xfId="0" applyNumberFormat="1" applyFont="1" applyFill="1" applyBorder="1"/>
    <xf numFmtId="41" fontId="0" fillId="3" borderId="1" xfId="2" applyNumberFormat="1" applyFont="1" applyFill="1" applyBorder="1"/>
    <xf numFmtId="41" fontId="1" fillId="3" borderId="1" xfId="2" applyNumberFormat="1" applyFont="1" applyFill="1" applyBorder="1"/>
    <xf numFmtId="41" fontId="0" fillId="0" borderId="0" xfId="0" applyNumberFormat="1" applyFont="1" applyFill="1"/>
    <xf numFmtId="165" fontId="0" fillId="0" borderId="0" xfId="0" applyNumberFormat="1" applyFont="1" applyFill="1"/>
    <xf numFmtId="167" fontId="18" fillId="0" borderId="1" xfId="2" applyNumberFormat="1" applyFont="1" applyFill="1" applyBorder="1"/>
    <xf numFmtId="1" fontId="0" fillId="3" borderId="1" xfId="0" applyNumberFormat="1" applyFont="1" applyFill="1" applyBorder="1"/>
    <xf numFmtId="167" fontId="0" fillId="3" borderId="1" xfId="2" applyNumberFormat="1" applyFont="1" applyFill="1" applyBorder="1"/>
    <xf numFmtId="164" fontId="0" fillId="6" borderId="1" xfId="2" applyFont="1" applyFill="1" applyBorder="1"/>
    <xf numFmtId="167" fontId="0" fillId="6" borderId="1" xfId="2" applyNumberFormat="1" applyFont="1" applyFill="1" applyBorder="1"/>
    <xf numFmtId="0" fontId="0" fillId="0" borderId="1" xfId="0" applyFont="1" applyFill="1" applyBorder="1"/>
    <xf numFmtId="164" fontId="0" fillId="0" borderId="1" xfId="2" applyFont="1" applyFill="1" applyBorder="1"/>
    <xf numFmtId="171" fontId="0" fillId="0" borderId="1" xfId="3" applyNumberFormat="1" applyFont="1" applyFill="1" applyBorder="1"/>
    <xf numFmtId="172" fontId="0" fillId="0" borderId="1" xfId="0" applyNumberFormat="1" applyFont="1" applyFill="1" applyBorder="1"/>
    <xf numFmtId="172" fontId="0" fillId="0" borderId="1" xfId="2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64" fontId="0" fillId="0" borderId="1" xfId="2" applyFont="1" applyFill="1" applyBorder="1"/>
    <xf numFmtId="171" fontId="0" fillId="0" borderId="1" xfId="3" applyNumberFormat="1" applyFont="1" applyFill="1" applyBorder="1"/>
    <xf numFmtId="172" fontId="0" fillId="0" borderId="1" xfId="0" applyNumberFormat="1" applyFont="1" applyFill="1" applyBorder="1"/>
    <xf numFmtId="172" fontId="0" fillId="0" borderId="1" xfId="2" applyNumberFormat="1" applyFont="1" applyFill="1" applyBorder="1"/>
    <xf numFmtId="0" fontId="0" fillId="18" borderId="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/>
    <xf numFmtId="172" fontId="0" fillId="0" borderId="11" xfId="0" applyNumberFormat="1" applyFont="1" applyFill="1" applyBorder="1"/>
    <xf numFmtId="172" fontId="0" fillId="0" borderId="11" xfId="2" applyNumberFormat="1" applyFont="1" applyFill="1" applyBorder="1"/>
    <xf numFmtId="171" fontId="0" fillId="0" borderId="11" xfId="3" applyNumberFormat="1" applyFont="1" applyFill="1" applyBorder="1"/>
    <xf numFmtId="164" fontId="0" fillId="0" borderId="11" xfId="2" applyFont="1" applyFill="1" applyBorder="1"/>
    <xf numFmtId="0" fontId="0" fillId="0" borderId="33" xfId="0" applyFont="1" applyFill="1" applyBorder="1"/>
    <xf numFmtId="172" fontId="0" fillId="0" borderId="33" xfId="0" applyNumberFormat="1" applyFont="1" applyFill="1" applyBorder="1"/>
    <xf numFmtId="172" fontId="0" fillId="0" borderId="33" xfId="2" applyNumberFormat="1" applyFont="1" applyFill="1" applyBorder="1"/>
    <xf numFmtId="171" fontId="0" fillId="0" borderId="33" xfId="3" applyNumberFormat="1" applyFont="1" applyFill="1" applyBorder="1"/>
    <xf numFmtId="0" fontId="1" fillId="3" borderId="33" xfId="0" applyFont="1" applyFill="1" applyBorder="1" applyAlignment="1">
      <alignment wrapText="1"/>
    </xf>
    <xf numFmtId="0" fontId="0" fillId="3" borderId="33" xfId="0" applyFont="1" applyFill="1" applyBorder="1"/>
    <xf numFmtId="172" fontId="0" fillId="3" borderId="33" xfId="0" applyNumberFormat="1" applyFont="1" applyFill="1" applyBorder="1"/>
    <xf numFmtId="172" fontId="0" fillId="3" borderId="33" xfId="2" applyNumberFormat="1" applyFont="1" applyFill="1" applyBorder="1"/>
    <xf numFmtId="171" fontId="0" fillId="3" borderId="33" xfId="3" applyNumberFormat="1" applyFont="1" applyFill="1" applyBorder="1"/>
    <xf numFmtId="164" fontId="1" fillId="3" borderId="33" xfId="2" applyFont="1" applyFill="1" applyBorder="1"/>
    <xf numFmtId="14" fontId="0" fillId="0" borderId="1" xfId="0" applyNumberFormat="1" applyFont="1" applyFill="1" applyBorder="1"/>
    <xf numFmtId="171" fontId="8" fillId="3" borderId="1" xfId="3" applyNumberFormat="1" applyFont="1" applyFill="1" applyBorder="1"/>
    <xf numFmtId="164" fontId="8" fillId="3" borderId="1" xfId="2" applyFont="1" applyFill="1" applyBorder="1"/>
    <xf numFmtId="0" fontId="0" fillId="18" borderId="11" xfId="0" applyFont="1" applyFill="1" applyBorder="1" applyAlignment="1">
      <alignment wrapText="1"/>
    </xf>
    <xf numFmtId="4" fontId="0" fillId="0" borderId="1" xfId="0" applyNumberFormat="1" applyFont="1" applyFill="1" applyBorder="1"/>
    <xf numFmtId="43" fontId="0" fillId="3" borderId="1" xfId="2" applyNumberFormat="1" applyFont="1" applyFill="1" applyBorder="1"/>
    <xf numFmtId="1" fontId="1" fillId="3" borderId="1" xfId="0" applyNumberFormat="1" applyFont="1" applyFill="1" applyBorder="1"/>
    <xf numFmtId="43" fontId="1" fillId="3" borderId="1" xfId="2" applyNumberFormat="1" applyFont="1" applyFill="1" applyBorder="1"/>
    <xf numFmtId="14" fontId="0" fillId="0" borderId="33" xfId="0" applyNumberFormat="1" applyFont="1" applyFill="1" applyBorder="1"/>
    <xf numFmtId="0" fontId="0" fillId="0" borderId="38" xfId="0" applyFont="1" applyFill="1" applyBorder="1"/>
    <xf numFmtId="4" fontId="0" fillId="0" borderId="33" xfId="0" applyNumberFormat="1" applyFont="1" applyFill="1" applyBorder="1"/>
    <xf numFmtId="0" fontId="0" fillId="14" borderId="1" xfId="0" applyFont="1" applyFill="1" applyBorder="1" applyAlignment="1">
      <alignment wrapText="1"/>
    </xf>
    <xf numFmtId="0" fontId="0" fillId="14" borderId="11" xfId="0" applyFont="1" applyFill="1" applyBorder="1" applyAlignment="1">
      <alignment wrapText="1"/>
    </xf>
    <xf numFmtId="0" fontId="1" fillId="16" borderId="1" xfId="0" applyFont="1" applyFill="1" applyBorder="1" applyAlignment="1">
      <alignment horizontal="center"/>
    </xf>
    <xf numFmtId="171" fontId="0" fillId="0" borderId="0" xfId="0" applyNumberFormat="1" applyFont="1" applyFill="1"/>
    <xf numFmtId="0" fontId="1" fillId="16" borderId="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horizontal="center"/>
    </xf>
    <xf numFmtId="167" fontId="8" fillId="6" borderId="1" xfId="2" applyNumberFormat="1" applyFont="1" applyFill="1" applyBorder="1"/>
    <xf numFmtId="0" fontId="0" fillId="0" borderId="1" xfId="0" applyBorder="1"/>
    <xf numFmtId="0" fontId="0" fillId="0" borderId="1" xfId="0" applyFill="1" applyBorder="1"/>
    <xf numFmtId="164" fontId="0" fillId="0" borderId="1" xfId="2" applyFont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164" fontId="0" fillId="0" borderId="1" xfId="2" applyFont="1" applyFill="1" applyBorder="1"/>
    <xf numFmtId="167" fontId="0" fillId="0" borderId="1" xfId="2" applyNumberFormat="1" applyFont="1" applyBorder="1"/>
    <xf numFmtId="0" fontId="0" fillId="9" borderId="1" xfId="0" applyFont="1" applyFill="1" applyBorder="1" applyAlignment="1">
      <alignment wrapText="1"/>
    </xf>
    <xf numFmtId="167" fontId="0" fillId="0" borderId="1" xfId="2" applyNumberFormat="1" applyFont="1" applyFill="1" applyBorder="1"/>
    <xf numFmtId="0" fontId="0" fillId="22" borderId="1" xfId="0" applyFont="1" applyFill="1" applyBorder="1" applyAlignment="1">
      <alignment wrapText="1"/>
    </xf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166" fontId="1" fillId="16" borderId="11" xfId="0" applyNumberFormat="1" applyFont="1" applyFill="1" applyBorder="1" applyAlignment="1">
      <alignment horizontal="left" vertical="center" wrapText="1"/>
    </xf>
    <xf numFmtId="166" fontId="1" fillId="16" borderId="11" xfId="3" applyNumberFormat="1" applyFont="1" applyFill="1" applyBorder="1" applyAlignment="1">
      <alignment horizontal="center" vertical="center" wrapText="1"/>
    </xf>
    <xf numFmtId="171" fontId="1" fillId="16" borderId="11" xfId="3" applyNumberFormat="1" applyFont="1" applyFill="1" applyBorder="1" applyAlignment="1">
      <alignment horizontal="center" vertical="center" wrapText="1"/>
    </xf>
    <xf numFmtId="165" fontId="1" fillId="16" borderId="11" xfId="3" applyFont="1" applyFill="1" applyBorder="1" applyAlignment="1">
      <alignment horizontal="left" vertical="center" wrapText="1"/>
    </xf>
    <xf numFmtId="0" fontId="1" fillId="16" borderId="11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164" fontId="0" fillId="0" borderId="33" xfId="2" applyFont="1" applyFill="1" applyBorder="1"/>
    <xf numFmtId="171" fontId="0" fillId="9" borderId="1" xfId="0" applyNumberFormat="1" applyFont="1" applyFill="1" applyBorder="1"/>
    <xf numFmtId="171" fontId="0" fillId="0" borderId="1" xfId="0" applyNumberFormat="1" applyFont="1" applyFill="1" applyBorder="1"/>
    <xf numFmtId="164" fontId="0" fillId="0" borderId="33" xfId="2" applyFont="1" applyBorder="1"/>
    <xf numFmtId="0" fontId="1" fillId="16" borderId="1" xfId="0" applyFont="1" applyFill="1" applyBorder="1" applyAlignment="1">
      <alignment horizontal="center"/>
    </xf>
    <xf numFmtId="14" fontId="0" fillId="0" borderId="0" xfId="0" applyNumberFormat="1" applyFont="1" applyFill="1"/>
    <xf numFmtId="0" fontId="1" fillId="16" borderId="1" xfId="0" applyFont="1" applyFill="1" applyBorder="1" applyAlignment="1">
      <alignment horizontal="center"/>
    </xf>
    <xf numFmtId="0" fontId="0" fillId="5" borderId="33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0" fillId="5" borderId="1" xfId="0" applyFont="1" applyFill="1" applyBorder="1" applyAlignment="1">
      <alignment wrapText="1"/>
    </xf>
    <xf numFmtId="167" fontId="0" fillId="14" borderId="1" xfId="2" applyNumberFormat="1" applyFont="1" applyFill="1" applyBorder="1"/>
    <xf numFmtId="0" fontId="0" fillId="23" borderId="1" xfId="0" applyFont="1" applyFill="1" applyBorder="1" applyAlignment="1">
      <alignment wrapText="1"/>
    </xf>
    <xf numFmtId="0" fontId="0" fillId="23" borderId="33" xfId="0" applyFont="1" applyFill="1" applyBorder="1" applyAlignment="1">
      <alignment wrapText="1"/>
    </xf>
    <xf numFmtId="0" fontId="0" fillId="23" borderId="1" xfId="0" applyFill="1" applyBorder="1"/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22" borderId="33" xfId="0" applyFont="1" applyFill="1" applyBorder="1" applyAlignment="1">
      <alignment wrapText="1"/>
    </xf>
    <xf numFmtId="164" fontId="0" fillId="9" borderId="33" xfId="2" applyFont="1" applyFill="1" applyBorder="1"/>
    <xf numFmtId="0" fontId="0" fillId="2" borderId="1" xfId="0" applyFont="1" applyFill="1" applyBorder="1"/>
    <xf numFmtId="0" fontId="0" fillId="2" borderId="33" xfId="0" applyFont="1" applyFill="1" applyBorder="1"/>
    <xf numFmtId="0" fontId="1" fillId="0" borderId="1" xfId="0" applyFont="1" applyFill="1" applyBorder="1"/>
    <xf numFmtId="0" fontId="0" fillId="24" borderId="1" xfId="0" applyFill="1" applyBorder="1"/>
    <xf numFmtId="167" fontId="0" fillId="24" borderId="1" xfId="2" applyNumberFormat="1" applyFont="1" applyFill="1" applyBorder="1"/>
    <xf numFmtId="0" fontId="0" fillId="24" borderId="1" xfId="0" applyFont="1" applyFill="1" applyBorder="1" applyAlignment="1">
      <alignment wrapText="1"/>
    </xf>
    <xf numFmtId="0" fontId="0" fillId="3" borderId="33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67" fontId="0" fillId="25" borderId="1" xfId="2" applyNumberFormat="1" applyFont="1" applyFill="1" applyBorder="1"/>
    <xf numFmtId="164" fontId="0" fillId="25" borderId="1" xfId="2" applyFont="1" applyFill="1" applyBorder="1"/>
    <xf numFmtId="0" fontId="1" fillId="3" borderId="0" xfId="0" applyFont="1" applyFill="1" applyBorder="1" applyAlignment="1">
      <alignment wrapText="1"/>
    </xf>
    <xf numFmtId="0" fontId="0" fillId="3" borderId="0" xfId="0" applyFont="1" applyFill="1" applyBorder="1"/>
    <xf numFmtId="171" fontId="0" fillId="3" borderId="0" xfId="3" applyNumberFormat="1" applyFont="1" applyFill="1" applyBorder="1"/>
    <xf numFmtId="167" fontId="1" fillId="3" borderId="0" xfId="2" applyNumberFormat="1" applyFont="1" applyFill="1" applyBorder="1"/>
    <xf numFmtId="164" fontId="1" fillId="3" borderId="0" xfId="2" applyFont="1" applyFill="1" applyBorder="1"/>
    <xf numFmtId="0" fontId="0" fillId="24" borderId="33" xfId="0" applyFont="1" applyFill="1" applyBorder="1" applyAlignment="1">
      <alignment wrapText="1"/>
    </xf>
    <xf numFmtId="0" fontId="0" fillId="24" borderId="1" xfId="0" applyFill="1" applyBorder="1" applyAlignment="1">
      <alignment wrapText="1"/>
    </xf>
    <xf numFmtId="0" fontId="0" fillId="24" borderId="33" xfId="0" applyFill="1" applyBorder="1"/>
    <xf numFmtId="0" fontId="59" fillId="0" borderId="0" xfId="0" applyFont="1" applyFill="1"/>
    <xf numFmtId="0" fontId="60" fillId="0" borderId="0" xfId="0" applyFont="1" applyFill="1"/>
    <xf numFmtId="0" fontId="59" fillId="16" borderId="0" xfId="0" applyFont="1" applyFill="1" applyBorder="1" applyAlignment="1">
      <alignment horizontal="center"/>
    </xf>
    <xf numFmtId="0" fontId="59" fillId="16" borderId="1" xfId="0" applyFont="1" applyFill="1" applyBorder="1" applyAlignment="1">
      <alignment horizontal="center"/>
    </xf>
    <xf numFmtId="0" fontId="59" fillId="16" borderId="1" xfId="0" applyFont="1" applyFill="1" applyBorder="1" applyAlignment="1">
      <alignment horizontal="center" wrapText="1"/>
    </xf>
    <xf numFmtId="0" fontId="60" fillId="23" borderId="1" xfId="0" applyFont="1" applyFill="1" applyBorder="1"/>
    <xf numFmtId="0" fontId="60" fillId="0" borderId="1" xfId="0" applyFont="1" applyBorder="1"/>
    <xf numFmtId="0" fontId="60" fillId="0" borderId="1" xfId="0" applyFont="1" applyFill="1" applyBorder="1"/>
    <xf numFmtId="167" fontId="60" fillId="0" borderId="1" xfId="2" applyNumberFormat="1" applyFont="1" applyFill="1" applyBorder="1"/>
    <xf numFmtId="0" fontId="60" fillId="23" borderId="1" xfId="0" applyFont="1" applyFill="1" applyBorder="1" applyAlignment="1">
      <alignment wrapText="1"/>
    </xf>
    <xf numFmtId="0" fontId="60" fillId="23" borderId="33" xfId="0" applyFont="1" applyFill="1" applyBorder="1" applyAlignment="1">
      <alignment wrapText="1"/>
    </xf>
    <xf numFmtId="0" fontId="60" fillId="0" borderId="1" xfId="0" applyFont="1" applyBorder="1" applyAlignment="1">
      <alignment wrapText="1"/>
    </xf>
    <xf numFmtId="0" fontId="60" fillId="0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60" fillId="3" borderId="1" xfId="0" applyFont="1" applyFill="1" applyBorder="1"/>
    <xf numFmtId="171" fontId="60" fillId="3" borderId="1" xfId="3" applyNumberFormat="1" applyFont="1" applyFill="1" applyBorder="1"/>
    <xf numFmtId="167" fontId="59" fillId="3" borderId="1" xfId="2" applyNumberFormat="1" applyFont="1" applyFill="1" applyBorder="1"/>
    <xf numFmtId="164" fontId="59" fillId="3" borderId="1" xfId="2" applyFont="1" applyFill="1" applyBorder="1"/>
    <xf numFmtId="0" fontId="59" fillId="16" borderId="11" xfId="0" applyFont="1" applyFill="1" applyBorder="1" applyAlignment="1">
      <alignment horizontal="center"/>
    </xf>
    <xf numFmtId="166" fontId="59" fillId="16" borderId="11" xfId="0" applyNumberFormat="1" applyFont="1" applyFill="1" applyBorder="1" applyAlignment="1">
      <alignment horizontal="left" vertical="center" wrapText="1"/>
    </xf>
    <xf numFmtId="166" fontId="59" fillId="16" borderId="11" xfId="3" applyNumberFormat="1" applyFont="1" applyFill="1" applyBorder="1" applyAlignment="1">
      <alignment horizontal="center" vertical="center" wrapText="1"/>
    </xf>
    <xf numFmtId="171" fontId="59" fillId="16" borderId="11" xfId="3" applyNumberFormat="1" applyFont="1" applyFill="1" applyBorder="1" applyAlignment="1">
      <alignment horizontal="center" vertical="center" wrapText="1"/>
    </xf>
    <xf numFmtId="165" fontId="59" fillId="16" borderId="11" xfId="3" applyFont="1" applyFill="1" applyBorder="1" applyAlignment="1">
      <alignment horizontal="left" vertical="center" wrapText="1"/>
    </xf>
    <xf numFmtId="0" fontId="59" fillId="16" borderId="11" xfId="0" applyFont="1" applyFill="1" applyBorder="1" applyAlignment="1">
      <alignment horizontal="center" wrapText="1"/>
    </xf>
    <xf numFmtId="0" fontId="60" fillId="0" borderId="33" xfId="0" applyFont="1" applyFill="1" applyBorder="1"/>
    <xf numFmtId="172" fontId="60" fillId="0" borderId="33" xfId="0" applyNumberFormat="1" applyFont="1" applyFill="1" applyBorder="1"/>
    <xf numFmtId="172" fontId="60" fillId="0" borderId="33" xfId="2" applyNumberFormat="1" applyFont="1" applyFill="1" applyBorder="1"/>
    <xf numFmtId="171" fontId="60" fillId="0" borderId="33" xfId="3" applyNumberFormat="1" applyFont="1" applyFill="1" applyBorder="1"/>
    <xf numFmtId="164" fontId="60" fillId="0" borderId="33" xfId="2" applyFont="1" applyFill="1" applyBorder="1"/>
    <xf numFmtId="172" fontId="60" fillId="0" borderId="1" xfId="0" applyNumberFormat="1" applyFont="1" applyFill="1" applyBorder="1"/>
    <xf numFmtId="172" fontId="60" fillId="0" borderId="1" xfId="2" applyNumberFormat="1" applyFont="1" applyFill="1" applyBorder="1"/>
    <xf numFmtId="171" fontId="60" fillId="0" borderId="1" xfId="3" applyNumberFormat="1" applyFont="1" applyFill="1" applyBorder="1"/>
    <xf numFmtId="164" fontId="60" fillId="0" borderId="1" xfId="2" applyFont="1" applyFill="1" applyBorder="1"/>
    <xf numFmtId="164" fontId="60" fillId="9" borderId="1" xfId="2" applyFont="1" applyFill="1" applyBorder="1"/>
    <xf numFmtId="172" fontId="60" fillId="3" borderId="1" xfId="0" applyNumberFormat="1" applyFont="1" applyFill="1" applyBorder="1"/>
    <xf numFmtId="172" fontId="60" fillId="3" borderId="1" xfId="2" applyNumberFormat="1" applyFont="1" applyFill="1" applyBorder="1"/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/>
    <xf numFmtId="167" fontId="60" fillId="0" borderId="0" xfId="2" applyNumberFormat="1" applyFont="1" applyFill="1" applyBorder="1"/>
    <xf numFmtId="171" fontId="60" fillId="0" borderId="0" xfId="3" applyNumberFormat="1" applyFont="1" applyFill="1" applyBorder="1"/>
    <xf numFmtId="171" fontId="60" fillId="0" borderId="0" xfId="3" applyNumberFormat="1" applyFont="1" applyFill="1"/>
    <xf numFmtId="166" fontId="59" fillId="16" borderId="1" xfId="0" applyNumberFormat="1" applyFont="1" applyFill="1" applyBorder="1" applyAlignment="1">
      <alignment horizontal="left" vertical="center" wrapText="1"/>
    </xf>
    <xf numFmtId="166" fontId="59" fillId="16" borderId="1" xfId="3" applyNumberFormat="1" applyFont="1" applyFill="1" applyBorder="1" applyAlignment="1">
      <alignment horizontal="center" vertical="center" wrapText="1"/>
    </xf>
    <xf numFmtId="171" fontId="59" fillId="16" borderId="1" xfId="3" applyNumberFormat="1" applyFont="1" applyFill="1" applyBorder="1" applyAlignment="1">
      <alignment horizontal="center" vertical="center" wrapText="1"/>
    </xf>
    <xf numFmtId="165" fontId="59" fillId="16" borderId="1" xfId="3" applyFont="1" applyFill="1" applyBorder="1" applyAlignment="1">
      <alignment horizontal="left" vertical="center" wrapText="1"/>
    </xf>
    <xf numFmtId="0" fontId="60" fillId="9" borderId="1" xfId="0" applyFont="1" applyFill="1" applyBorder="1"/>
    <xf numFmtId="0" fontId="60" fillId="9" borderId="0" xfId="0" applyFont="1" applyFill="1"/>
    <xf numFmtId="0" fontId="60" fillId="9" borderId="1" xfId="0" applyFont="1" applyFill="1" applyBorder="1" applyAlignment="1">
      <alignment wrapText="1"/>
    </xf>
    <xf numFmtId="172" fontId="60" fillId="9" borderId="1" xfId="0" applyNumberFormat="1" applyFont="1" applyFill="1" applyBorder="1"/>
    <xf numFmtId="172" fontId="60" fillId="9" borderId="1" xfId="2" applyNumberFormat="1" applyFont="1" applyFill="1" applyBorder="1"/>
    <xf numFmtId="171" fontId="60" fillId="9" borderId="1" xfId="3" applyNumberFormat="1" applyFont="1" applyFill="1" applyBorder="1"/>
    <xf numFmtId="0" fontId="60" fillId="16" borderId="36" xfId="0" applyFont="1" applyFill="1" applyBorder="1"/>
    <xf numFmtId="0" fontId="60" fillId="16" borderId="37" xfId="0" applyFont="1" applyFill="1" applyBorder="1"/>
    <xf numFmtId="171" fontId="60" fillId="16" borderId="37" xfId="0" applyNumberFormat="1" applyFont="1" applyFill="1" applyBorder="1"/>
    <xf numFmtId="164" fontId="60" fillId="16" borderId="37" xfId="2" applyFont="1" applyFill="1" applyBorder="1"/>
    <xf numFmtId="171" fontId="60" fillId="16" borderId="37" xfId="3" applyNumberFormat="1" applyFont="1" applyFill="1" applyBorder="1"/>
    <xf numFmtId="0" fontId="61" fillId="17" borderId="36" xfId="0" applyFont="1" applyFill="1" applyBorder="1"/>
    <xf numFmtId="0" fontId="62" fillId="17" borderId="37" xfId="0" applyFont="1" applyFill="1" applyBorder="1"/>
    <xf numFmtId="171" fontId="61" fillId="17" borderId="37" xfId="0" applyNumberFormat="1" applyFont="1" applyFill="1" applyBorder="1"/>
    <xf numFmtId="164" fontId="61" fillId="17" borderId="37" xfId="2" applyFont="1" applyFill="1" applyBorder="1"/>
    <xf numFmtId="164" fontId="60" fillId="0" borderId="0" xfId="0" applyNumberFormat="1" applyFont="1" applyFill="1"/>
    <xf numFmtId="164" fontId="60" fillId="26" borderId="1" xfId="2" applyFont="1" applyFill="1" applyBorder="1"/>
    <xf numFmtId="167" fontId="60" fillId="26" borderId="1" xfId="2" applyNumberFormat="1" applyFont="1" applyFill="1" applyBorder="1"/>
    <xf numFmtId="164" fontId="60" fillId="26" borderId="33" xfId="2" applyFont="1" applyFill="1" applyBorder="1"/>
    <xf numFmtId="0" fontId="70" fillId="0" borderId="0" xfId="0" applyFont="1" applyFill="1"/>
    <xf numFmtId="0" fontId="69" fillId="16" borderId="0" xfId="0" applyFont="1" applyFill="1" applyBorder="1" applyAlignment="1">
      <alignment horizontal="center"/>
    </xf>
    <xf numFmtId="0" fontId="69" fillId="16" borderId="1" xfId="0" applyFont="1" applyFill="1" applyBorder="1" applyAlignment="1">
      <alignment horizontal="center"/>
    </xf>
    <xf numFmtId="0" fontId="69" fillId="16" borderId="1" xfId="0" applyFont="1" applyFill="1" applyBorder="1" applyAlignment="1">
      <alignment horizontal="center" wrapText="1"/>
    </xf>
    <xf numFmtId="0" fontId="70" fillId="0" borderId="1" xfId="0" applyFont="1" applyBorder="1"/>
    <xf numFmtId="0" fontId="70" fillId="0" borderId="1" xfId="0" applyFont="1" applyFill="1" applyBorder="1"/>
    <xf numFmtId="167" fontId="70" fillId="0" borderId="1" xfId="2" applyNumberFormat="1" applyFont="1" applyFill="1" applyBorder="1"/>
    <xf numFmtId="167" fontId="70" fillId="0" borderId="1" xfId="2" applyNumberFormat="1" applyFont="1" applyBorder="1"/>
    <xf numFmtId="0" fontId="70" fillId="0" borderId="1" xfId="0" applyFont="1" applyFill="1" applyBorder="1" applyAlignment="1">
      <alignment wrapText="1"/>
    </xf>
    <xf numFmtId="0" fontId="70" fillId="0" borderId="33" xfId="0" applyFont="1" applyFill="1" applyBorder="1"/>
    <xf numFmtId="0" fontId="70" fillId="9" borderId="1" xfId="0" applyFont="1" applyFill="1" applyBorder="1" applyAlignment="1">
      <alignment wrapText="1"/>
    </xf>
    <xf numFmtId="0" fontId="70" fillId="0" borderId="1" xfId="0" applyFont="1" applyBorder="1" applyAlignment="1">
      <alignment wrapText="1"/>
    </xf>
    <xf numFmtId="0" fontId="69" fillId="3" borderId="1" xfId="0" applyFont="1" applyFill="1" applyBorder="1" applyAlignment="1">
      <alignment wrapText="1"/>
    </xf>
    <xf numFmtId="0" fontId="70" fillId="3" borderId="1" xfId="0" applyFont="1" applyFill="1" applyBorder="1"/>
    <xf numFmtId="171" fontId="70" fillId="3" borderId="1" xfId="3" applyNumberFormat="1" applyFont="1" applyFill="1" applyBorder="1"/>
    <xf numFmtId="167" fontId="69" fillId="3" borderId="1" xfId="2" applyNumberFormat="1" applyFont="1" applyFill="1" applyBorder="1"/>
    <xf numFmtId="164" fontId="69" fillId="3" borderId="1" xfId="2" applyFont="1" applyFill="1" applyBorder="1"/>
    <xf numFmtId="0" fontId="69" fillId="16" borderId="11" xfId="0" applyFont="1" applyFill="1" applyBorder="1" applyAlignment="1">
      <alignment horizontal="center"/>
    </xf>
    <xf numFmtId="166" fontId="69" fillId="16" borderId="11" xfId="0" applyNumberFormat="1" applyFont="1" applyFill="1" applyBorder="1" applyAlignment="1">
      <alignment horizontal="left" vertical="center" wrapText="1"/>
    </xf>
    <xf numFmtId="166" fontId="69" fillId="16" borderId="11" xfId="3" applyNumberFormat="1" applyFont="1" applyFill="1" applyBorder="1" applyAlignment="1">
      <alignment horizontal="center" vertical="center" wrapText="1"/>
    </xf>
    <xf numFmtId="171" fontId="69" fillId="16" borderId="11" xfId="3" applyNumberFormat="1" applyFont="1" applyFill="1" applyBorder="1" applyAlignment="1">
      <alignment horizontal="center" vertical="center" wrapText="1"/>
    </xf>
    <xf numFmtId="165" fontId="69" fillId="16" borderId="11" xfId="3" applyFont="1" applyFill="1" applyBorder="1" applyAlignment="1">
      <alignment horizontal="left" vertical="center" wrapText="1"/>
    </xf>
    <xf numFmtId="0" fontId="69" fillId="16" borderId="11" xfId="0" applyFont="1" applyFill="1" applyBorder="1" applyAlignment="1">
      <alignment horizontal="center" wrapText="1"/>
    </xf>
    <xf numFmtId="0" fontId="70" fillId="0" borderId="33" xfId="0" applyFont="1" applyFill="1" applyBorder="1" applyAlignment="1">
      <alignment wrapText="1"/>
    </xf>
    <xf numFmtId="172" fontId="70" fillId="0" borderId="33" xfId="0" applyNumberFormat="1" applyFont="1" applyFill="1" applyBorder="1"/>
    <xf numFmtId="172" fontId="70" fillId="0" borderId="33" xfId="2" applyNumberFormat="1" applyFont="1" applyFill="1" applyBorder="1"/>
    <xf numFmtId="171" fontId="70" fillId="0" borderId="33" xfId="3" applyNumberFormat="1" applyFont="1" applyFill="1" applyBorder="1"/>
    <xf numFmtId="172" fontId="70" fillId="0" borderId="1" xfId="0" applyNumberFormat="1" applyFont="1" applyFill="1" applyBorder="1"/>
    <xf numFmtId="172" fontId="70" fillId="0" borderId="1" xfId="2" applyNumberFormat="1" applyFont="1" applyFill="1" applyBorder="1"/>
    <xf numFmtId="171" fontId="70" fillId="0" borderId="1" xfId="3" applyNumberFormat="1" applyFont="1" applyFill="1" applyBorder="1"/>
    <xf numFmtId="164" fontId="70" fillId="0" borderId="1" xfId="2" applyFont="1" applyFill="1" applyBorder="1"/>
    <xf numFmtId="164" fontId="70" fillId="9" borderId="1" xfId="2" applyFont="1" applyFill="1" applyBorder="1"/>
    <xf numFmtId="172" fontId="70" fillId="3" borderId="1" xfId="0" applyNumberFormat="1" applyFont="1" applyFill="1" applyBorder="1"/>
    <xf numFmtId="172" fontId="70" fillId="3" borderId="1" xfId="2" applyNumberFormat="1" applyFont="1" applyFill="1" applyBorder="1"/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/>
    <xf numFmtId="167" fontId="70" fillId="0" borderId="0" xfId="2" applyNumberFormat="1" applyFont="1" applyFill="1" applyBorder="1"/>
    <xf numFmtId="171" fontId="70" fillId="0" borderId="0" xfId="3" applyNumberFormat="1" applyFont="1" applyFill="1" applyBorder="1"/>
    <xf numFmtId="171" fontId="70" fillId="0" borderId="0" xfId="3" applyNumberFormat="1" applyFont="1" applyFill="1"/>
    <xf numFmtId="166" fontId="69" fillId="16" borderId="1" xfId="0" applyNumberFormat="1" applyFont="1" applyFill="1" applyBorder="1" applyAlignment="1">
      <alignment horizontal="left" vertical="center" wrapText="1"/>
    </xf>
    <xf numFmtId="166" fontId="69" fillId="16" borderId="1" xfId="3" applyNumberFormat="1" applyFont="1" applyFill="1" applyBorder="1" applyAlignment="1">
      <alignment horizontal="center" vertical="center" wrapText="1"/>
    </xf>
    <xf numFmtId="171" fontId="69" fillId="16" borderId="1" xfId="3" applyNumberFormat="1" applyFont="1" applyFill="1" applyBorder="1" applyAlignment="1">
      <alignment horizontal="center" vertical="center" wrapText="1"/>
    </xf>
    <xf numFmtId="165" fontId="69" fillId="16" borderId="1" xfId="3" applyFont="1" applyFill="1" applyBorder="1" applyAlignment="1">
      <alignment horizontal="left" vertical="center" wrapText="1"/>
    </xf>
    <xf numFmtId="0" fontId="70" fillId="9" borderId="1" xfId="0" applyFont="1" applyFill="1" applyBorder="1"/>
    <xf numFmtId="0" fontId="70" fillId="9" borderId="0" xfId="0" applyFont="1" applyFill="1"/>
    <xf numFmtId="172" fontId="70" fillId="9" borderId="1" xfId="0" applyNumberFormat="1" applyFont="1" applyFill="1" applyBorder="1"/>
    <xf numFmtId="172" fontId="70" fillId="9" borderId="1" xfId="2" applyNumberFormat="1" applyFont="1" applyFill="1" applyBorder="1"/>
    <xf numFmtId="171" fontId="70" fillId="9" borderId="1" xfId="3" applyNumberFormat="1" applyFont="1" applyFill="1" applyBorder="1"/>
    <xf numFmtId="0" fontId="70" fillId="16" borderId="36" xfId="0" applyFont="1" applyFill="1" applyBorder="1"/>
    <xf numFmtId="0" fontId="70" fillId="16" borderId="37" xfId="0" applyFont="1" applyFill="1" applyBorder="1"/>
    <xf numFmtId="171" fontId="70" fillId="16" borderId="37" xfId="0" applyNumberFormat="1" applyFont="1" applyFill="1" applyBorder="1"/>
    <xf numFmtId="164" fontId="70" fillId="16" borderId="37" xfId="2" applyFont="1" applyFill="1" applyBorder="1"/>
    <xf numFmtId="171" fontId="70" fillId="16" borderId="37" xfId="3" applyNumberFormat="1" applyFont="1" applyFill="1" applyBorder="1"/>
    <xf numFmtId="0" fontId="71" fillId="17" borderId="36" xfId="0" applyFont="1" applyFill="1" applyBorder="1"/>
    <xf numFmtId="0" fontId="72" fillId="17" borderId="37" xfId="0" applyFont="1" applyFill="1" applyBorder="1"/>
    <xf numFmtId="171" fontId="71" fillId="17" borderId="37" xfId="0" applyNumberFormat="1" applyFont="1" applyFill="1" applyBorder="1"/>
    <xf numFmtId="164" fontId="71" fillId="17" borderId="37" xfId="2" applyFont="1" applyFill="1" applyBorder="1"/>
    <xf numFmtId="164" fontId="70" fillId="0" borderId="0" xfId="0" applyNumberFormat="1" applyFont="1" applyFill="1"/>
    <xf numFmtId="0" fontId="73" fillId="0" borderId="1" xfId="0" applyFont="1" applyFill="1" applyBorder="1"/>
    <xf numFmtId="167" fontId="73" fillId="0" borderId="1" xfId="2" applyNumberFormat="1" applyFont="1" applyFill="1" applyBorder="1"/>
    <xf numFmtId="167" fontId="73" fillId="0" borderId="1" xfId="2" applyNumberFormat="1" applyFont="1" applyBorder="1"/>
    <xf numFmtId="0" fontId="73" fillId="0" borderId="1" xfId="0" applyFont="1" applyBorder="1"/>
    <xf numFmtId="0" fontId="73" fillId="0" borderId="1" xfId="0" applyFont="1" applyFill="1" applyBorder="1" applyAlignment="1">
      <alignment wrapText="1"/>
    </xf>
    <xf numFmtId="0" fontId="73" fillId="0" borderId="1" xfId="0" applyFont="1" applyBorder="1" applyAlignment="1">
      <alignment wrapText="1"/>
    </xf>
    <xf numFmtId="0" fontId="73" fillId="0" borderId="33" xfId="0" applyFont="1" applyBorder="1"/>
    <xf numFmtId="167" fontId="74" fillId="0" borderId="1" xfId="2" applyNumberFormat="1" applyFont="1" applyFill="1" applyBorder="1"/>
    <xf numFmtId="0" fontId="70" fillId="23" borderId="1" xfId="0" applyFont="1" applyFill="1" applyBorder="1"/>
    <xf numFmtId="0" fontId="70" fillId="23" borderId="1" xfId="0" applyFont="1" applyFill="1" applyBorder="1" applyAlignment="1">
      <alignment wrapText="1"/>
    </xf>
    <xf numFmtId="0" fontId="70" fillId="23" borderId="33" xfId="0" applyFont="1" applyFill="1" applyBorder="1"/>
    <xf numFmtId="167" fontId="75" fillId="0" borderId="1" xfId="2" applyNumberFormat="1" applyFont="1" applyFill="1" applyBorder="1"/>
    <xf numFmtId="167" fontId="70" fillId="9" borderId="1" xfId="2" applyNumberFormat="1" applyFont="1" applyFill="1" applyBorder="1"/>
    <xf numFmtId="167" fontId="0" fillId="0" borderId="33" xfId="2" applyNumberFormat="1" applyFont="1" applyFill="1" applyBorder="1"/>
    <xf numFmtId="167" fontId="70" fillId="0" borderId="33" xfId="2" applyNumberFormat="1" applyFont="1" applyFill="1" applyBorder="1"/>
    <xf numFmtId="167" fontId="70" fillId="6" borderId="1" xfId="2" applyNumberFormat="1" applyFont="1" applyFill="1" applyBorder="1"/>
    <xf numFmtId="167" fontId="0" fillId="6" borderId="33" xfId="2" applyNumberFormat="1" applyFont="1" applyFill="1" applyBorder="1"/>
    <xf numFmtId="0" fontId="73" fillId="22" borderId="1" xfId="0" applyFont="1" applyFill="1" applyBorder="1" applyAlignment="1">
      <alignment wrapText="1"/>
    </xf>
    <xf numFmtId="0" fontId="0" fillId="22" borderId="38" xfId="0" applyFont="1" applyFill="1" applyBorder="1" applyAlignment="1">
      <alignment wrapText="1"/>
    </xf>
    <xf numFmtId="164" fontId="0" fillId="6" borderId="33" xfId="2" applyFont="1" applyFill="1" applyBorder="1"/>
    <xf numFmtId="0" fontId="73" fillId="4" borderId="1" xfId="0" applyFont="1" applyFill="1" applyBorder="1" applyAlignment="1">
      <alignment wrapText="1"/>
    </xf>
    <xf numFmtId="44" fontId="0" fillId="0" borderId="0" xfId="0" applyNumberFormat="1" applyFont="1" applyFill="1"/>
    <xf numFmtId="14" fontId="0" fillId="9" borderId="1" xfId="0" applyNumberFormat="1" applyFont="1" applyFill="1" applyBorder="1"/>
    <xf numFmtId="0" fontId="67" fillId="0" borderId="1" xfId="0" applyFont="1" applyFill="1" applyBorder="1" applyAlignment="1">
      <alignment vertical="center" wrapText="1" readingOrder="1"/>
    </xf>
    <xf numFmtId="0" fontId="64" fillId="0" borderId="1" xfId="0" applyFont="1" applyFill="1" applyBorder="1" applyAlignment="1">
      <alignment wrapText="1" readingOrder="1"/>
    </xf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left"/>
    </xf>
    <xf numFmtId="0" fontId="59" fillId="16" borderId="1" xfId="0" applyFont="1" applyFill="1" applyBorder="1" applyAlignment="1">
      <alignment horizontal="center"/>
    </xf>
    <xf numFmtId="0" fontId="59" fillId="16" borderId="1" xfId="0" applyFont="1" applyFill="1" applyBorder="1" applyAlignment="1">
      <alignment horizontal="left"/>
    </xf>
    <xf numFmtId="0" fontId="69" fillId="16" borderId="1" xfId="0" applyFont="1" applyFill="1" applyBorder="1" applyAlignment="1">
      <alignment horizontal="center"/>
    </xf>
    <xf numFmtId="0" fontId="69" fillId="16" borderId="1" xfId="0" applyFont="1" applyFill="1" applyBorder="1" applyAlignment="1">
      <alignment horizontal="left"/>
    </xf>
    <xf numFmtId="0" fontId="63" fillId="0" borderId="1" xfId="0" applyFont="1" applyFill="1" applyBorder="1" applyAlignment="1" applyProtection="1">
      <alignment vertical="center" wrapText="1" readingOrder="1"/>
      <protection locked="0"/>
    </xf>
    <xf numFmtId="0" fontId="63" fillId="0" borderId="1" xfId="0" applyFont="1" applyFill="1" applyBorder="1" applyAlignment="1" applyProtection="1">
      <alignment horizontal="center" vertical="center" wrapText="1" readingOrder="1"/>
      <protection locked="0"/>
    </xf>
    <xf numFmtId="0" fontId="63" fillId="0" borderId="1" xfId="0" applyFont="1" applyFill="1" applyBorder="1" applyAlignment="1" applyProtection="1">
      <alignment horizontal="left" vertical="center" wrapText="1" readingOrder="1"/>
      <protection locked="0"/>
    </xf>
    <xf numFmtId="0" fontId="64" fillId="0" borderId="1" xfId="0" applyFont="1" applyFill="1" applyBorder="1" applyAlignment="1">
      <alignment horizontal="center" vertical="center" wrapText="1" readingOrder="1"/>
    </xf>
    <xf numFmtId="0" fontId="66" fillId="0" borderId="1" xfId="0" applyFont="1" applyFill="1" applyBorder="1" applyAlignment="1" applyProtection="1">
      <alignment vertical="center" wrapText="1" readingOrder="1"/>
      <protection locked="0"/>
    </xf>
    <xf numFmtId="0" fontId="52" fillId="0" borderId="1" xfId="0" applyFont="1" applyFill="1" applyBorder="1" applyAlignment="1" applyProtection="1">
      <alignment horizontal="center" vertical="center" wrapText="1" readingOrder="1"/>
      <protection locked="0"/>
    </xf>
    <xf numFmtId="0" fontId="52" fillId="0" borderId="1" xfId="0" applyFont="1" applyFill="1" applyBorder="1" applyAlignment="1" applyProtection="1">
      <alignment vertical="center" wrapText="1" readingOrder="1"/>
      <protection locked="0"/>
    </xf>
    <xf numFmtId="0" fontId="65" fillId="0" borderId="1" xfId="0" applyFont="1" applyFill="1" applyBorder="1" applyAlignment="1" applyProtection="1">
      <alignment horizontal="left" vertical="center" wrapText="1" readingOrder="1"/>
      <protection locked="0"/>
    </xf>
    <xf numFmtId="0" fontId="66" fillId="0" borderId="1" xfId="0" applyFont="1" applyFill="1" applyBorder="1" applyAlignment="1" applyProtection="1">
      <alignment horizontal="center" vertical="center" wrapText="1" readingOrder="1"/>
      <protection locked="0"/>
    </xf>
    <xf numFmtId="0" fontId="66" fillId="0" borderId="1" xfId="0" applyFont="1" applyFill="1" applyBorder="1" applyAlignment="1" applyProtection="1">
      <alignment vertical="top" wrapText="1" readingOrder="1"/>
      <protection locked="0"/>
    </xf>
    <xf numFmtId="0" fontId="67" fillId="0" borderId="1" xfId="0" applyFont="1" applyFill="1" applyBorder="1" applyAlignment="1">
      <alignment horizontal="center" vertical="center" wrapText="1" readingOrder="1"/>
    </xf>
    <xf numFmtId="0" fontId="64" fillId="0" borderId="1" xfId="0" applyFont="1" applyFill="1" applyBorder="1" applyAlignment="1">
      <alignment horizontal="center" wrapText="1" readingOrder="1"/>
    </xf>
    <xf numFmtId="0" fontId="68" fillId="0" borderId="1" xfId="0" applyFont="1" applyFill="1" applyBorder="1" applyAlignment="1">
      <alignment horizontal="left" wrapText="1" readingOrder="1"/>
    </xf>
    <xf numFmtId="49" fontId="64" fillId="0" borderId="1" xfId="0" applyNumberFormat="1" applyFont="1" applyFill="1" applyBorder="1" applyAlignment="1">
      <alignment wrapText="1" readingOrder="1"/>
    </xf>
    <xf numFmtId="0" fontId="66" fillId="0" borderId="1" xfId="0" applyFont="1" applyFill="1" applyBorder="1" applyAlignment="1" applyProtection="1">
      <alignment vertical="justify" wrapText="1" readingOrder="1"/>
      <protection locked="0"/>
    </xf>
    <xf numFmtId="0" fontId="65" fillId="0" borderId="1" xfId="0" applyFont="1" applyFill="1" applyBorder="1" applyAlignment="1" applyProtection="1">
      <alignment vertical="center" wrapText="1" readingOrder="1"/>
      <protection locked="0"/>
    </xf>
    <xf numFmtId="0" fontId="64" fillId="0" borderId="1" xfId="0" applyFont="1" applyFill="1" applyBorder="1" applyAlignment="1">
      <alignment vertical="center" wrapText="1" readingOrder="1"/>
    </xf>
    <xf numFmtId="0" fontId="64" fillId="0" borderId="1" xfId="0" applyFont="1" applyFill="1" applyBorder="1" applyAlignment="1">
      <alignment horizontal="left" vertical="center" wrapText="1" readingOrder="1"/>
    </xf>
    <xf numFmtId="0" fontId="66" fillId="0" borderId="33" xfId="0" applyFont="1" applyFill="1" applyBorder="1" applyAlignment="1" applyProtection="1">
      <alignment vertical="center" wrapText="1" readingOrder="1"/>
      <protection locked="0"/>
    </xf>
    <xf numFmtId="0" fontId="3" fillId="0" borderId="1" xfId="0" applyFont="1" applyFill="1" applyBorder="1" applyAlignment="1">
      <alignment wrapText="1" readingOrder="1"/>
    </xf>
    <xf numFmtId="0" fontId="64" fillId="0" borderId="1" xfId="0" applyFont="1" applyFill="1" applyBorder="1" applyAlignment="1">
      <alignment horizontal="left" wrapText="1" readingOrder="1"/>
    </xf>
  </cellXfs>
  <cellStyles count="16">
    <cellStyle name="20% - Accent3 2" xfId="13" xr:uid="{00000000-0005-0000-0000-000000000000}"/>
    <cellStyle name="Calculation 2" xfId="15" xr:uid="{00000000-0005-0000-0000-000001000000}"/>
    <cellStyle name="Comma" xfId="3" builtinId="3"/>
    <cellStyle name="Comma 2" xfId="5" xr:uid="{00000000-0005-0000-0000-000003000000}"/>
    <cellStyle name="Comma 2 2" xfId="6" xr:uid="{00000000-0005-0000-0000-000004000000}"/>
    <cellStyle name="Currency" xfId="2" builtinId="4"/>
    <cellStyle name="Currency 2" xfId="11" xr:uid="{00000000-0005-0000-0000-000006000000}"/>
    <cellStyle name="Currency 3" xfId="7" xr:uid="{00000000-0005-0000-0000-000007000000}"/>
    <cellStyle name="Input 2" xfId="14" xr:uid="{00000000-0005-0000-0000-000008000000}"/>
    <cellStyle name="Normal" xfId="0" builtinId="0"/>
    <cellStyle name="Normal 2" xfId="8" xr:uid="{00000000-0005-0000-0000-00000A000000}"/>
    <cellStyle name="Normal 3" xfId="1" xr:uid="{00000000-0005-0000-0000-00000B000000}"/>
    <cellStyle name="Normal 3 2" xfId="10" xr:uid="{00000000-0005-0000-0000-00000C000000}"/>
    <cellStyle name="Normal 4" xfId="12" xr:uid="{00000000-0005-0000-0000-00000D000000}"/>
    <cellStyle name="Normal 5" xfId="4" xr:uid="{00000000-0005-0000-0000-00000E000000}"/>
    <cellStyle name="Percent 2" xfId="9" xr:uid="{00000000-0005-0000-0000-00000F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66" formatCode="mm/dd/yy;@"/>
      <alignment horizontal="left" vertical="center" textRotation="0" wrapText="1" indent="0" justifyLastLine="0" shrinkToFit="0" readingOrder="0"/>
    </dxf>
    <dxf>
      <border outline="0">
        <top style="thin">
          <color theme="5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66" formatCode="mm/dd/yy;@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mm/dd/yy;@"/>
      <fill>
        <patternFill patternType="solid">
          <fgColor theme="5"/>
          <bgColor theme="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theme="1"/>
        <name val="Calibri"/>
        <scheme val="minor"/>
      </font>
      <numFmt numFmtId="165" formatCode="_-* #,##0.00_-;\-* #,##0.00_-;_-* &quot;-&quot;??_-;_-@_-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C00000"/>
        <name val="Calibri"/>
        <scheme val="minor"/>
      </font>
      <numFmt numFmtId="1" formatCode="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mmmm\ yyyy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CFAA6"/>
      <color rgb="FFFDC1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H2" insertRowShift="1" totalsRowShown="0" headerRowDxfId="11">
  <autoFilter ref="B1:H2" xr:uid="{00000000-0009-0000-0100-000001000000}"/>
  <tableColumns count="7">
    <tableColumn id="1" xr3:uid="{00000000-0010-0000-0000-000001000000}" name="Facility" dataDxfId="10"/>
    <tableColumn id="2" xr3:uid="{00000000-0010-0000-0000-000002000000}" name="who" dataDxfId="9"/>
    <tableColumn id="3" xr3:uid="{00000000-0010-0000-0000-000003000000}" name="Action" dataDxfId="8"/>
    <tableColumn id="4" xr3:uid="{00000000-0010-0000-0000-000004000000}" name="Offsets ?" dataDxfId="7"/>
    <tableColumn id="5" xr3:uid="{00000000-0010-0000-0000-000005000000}" name="Amount Lost $" dataDxfId="6"/>
    <tableColumn id="6" xr3:uid="{00000000-0010-0000-0000-000006000000}" name="Offsets $" dataDxfId="5" dataCellStyle="Comma"/>
    <tableColumn id="7" xr3:uid="{00000000-0010-0000-0000-000007000000}" name="Total $ Lost " dataDxfId="4" dataCellStyle="Comma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2" insertRow="1" totalsRowShown="0" headerRowDxfId="3" dataDxfId="2" tableBorderDxfId="1">
  <autoFilter ref="A1:A2" xr:uid="{00000000-0009-0000-0100-000002000000}"/>
  <tableColumns count="1">
    <tableColumn id="1" xr3:uid="{00000000-0010-0000-0100-000001000000}" name="DATE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25.xml"/><Relationship Id="rId4" Type="http://schemas.openxmlformats.org/officeDocument/2006/relationships/table" Target="../tables/table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workbookViewId="0">
      <selection activeCell="B37" sqref="B37"/>
    </sheetView>
  </sheetViews>
  <sheetFormatPr defaultRowHeight="15" x14ac:dyDescent="0.25"/>
  <cols>
    <col min="1" max="1" width="31.5703125" customWidth="1"/>
    <col min="2" max="2" width="16.7109375" customWidth="1"/>
    <col min="3" max="3" width="38.28515625" bestFit="1" customWidth="1"/>
    <col min="4" max="4" width="14.7109375" customWidth="1"/>
    <col min="5" max="6" width="14.7109375" style="3" customWidth="1"/>
    <col min="7" max="7" width="17.28515625" customWidth="1"/>
  </cols>
  <sheetData>
    <row r="1" spans="1:8" x14ac:dyDescent="0.25">
      <c r="A1" s="11" t="s">
        <v>65</v>
      </c>
      <c r="B1" s="11" t="s">
        <v>66</v>
      </c>
      <c r="C1" s="11" t="s">
        <v>67</v>
      </c>
      <c r="D1" s="11" t="s">
        <v>68</v>
      </c>
      <c r="E1" s="11" t="s">
        <v>81</v>
      </c>
      <c r="F1" s="11" t="s">
        <v>94</v>
      </c>
      <c r="G1" s="11" t="s">
        <v>69</v>
      </c>
    </row>
    <row r="2" spans="1:8" x14ac:dyDescent="0.25">
      <c r="A2" t="s">
        <v>70</v>
      </c>
      <c r="B2" s="15">
        <v>41275</v>
      </c>
      <c r="C2" s="16" t="s">
        <v>78</v>
      </c>
      <c r="D2" s="12">
        <v>1200</v>
      </c>
      <c r="E2" s="12"/>
      <c r="F2" s="12"/>
      <c r="G2" s="15">
        <v>41275</v>
      </c>
    </row>
    <row r="3" spans="1:8" x14ac:dyDescent="0.25">
      <c r="A3" t="s">
        <v>17</v>
      </c>
      <c r="B3" s="15">
        <v>41275</v>
      </c>
      <c r="C3" s="16" t="s">
        <v>74</v>
      </c>
      <c r="D3" s="12">
        <v>2070</v>
      </c>
      <c r="E3" s="12"/>
      <c r="F3" s="12"/>
      <c r="G3" s="15">
        <v>41275</v>
      </c>
    </row>
    <row r="4" spans="1:8" x14ac:dyDescent="0.25">
      <c r="A4" t="s">
        <v>71</v>
      </c>
      <c r="B4" s="15">
        <v>41275</v>
      </c>
      <c r="C4" s="16" t="s">
        <v>77</v>
      </c>
      <c r="D4" s="12">
        <v>300</v>
      </c>
      <c r="E4" s="12"/>
      <c r="F4" s="12"/>
      <c r="G4" s="15">
        <v>41275</v>
      </c>
    </row>
    <row r="5" spans="1:8" x14ac:dyDescent="0.25">
      <c r="A5" t="s">
        <v>72</v>
      </c>
      <c r="B5" s="15">
        <v>41275</v>
      </c>
      <c r="C5" s="16" t="s">
        <v>76</v>
      </c>
      <c r="D5" s="12">
        <v>2025</v>
      </c>
      <c r="E5" s="12"/>
      <c r="F5" s="12"/>
      <c r="G5" s="15">
        <v>41275</v>
      </c>
    </row>
    <row r="6" spans="1:8" x14ac:dyDescent="0.25">
      <c r="A6" t="s">
        <v>73</v>
      </c>
      <c r="B6" s="15">
        <v>41275</v>
      </c>
      <c r="C6" s="16" t="s">
        <v>75</v>
      </c>
      <c r="D6" s="12">
        <v>4650</v>
      </c>
      <c r="E6" s="12"/>
      <c r="F6" s="12"/>
      <c r="G6" s="15">
        <v>41275</v>
      </c>
    </row>
    <row r="7" spans="1:8" x14ac:dyDescent="0.25">
      <c r="A7" t="s">
        <v>25</v>
      </c>
      <c r="B7" s="15">
        <v>41275</v>
      </c>
      <c r="C7" s="16" t="s">
        <v>74</v>
      </c>
      <c r="D7" s="12">
        <v>2070</v>
      </c>
      <c r="E7" s="12"/>
      <c r="F7" s="12"/>
      <c r="G7" s="15">
        <v>41275</v>
      </c>
    </row>
    <row r="8" spans="1:8" x14ac:dyDescent="0.25">
      <c r="A8" s="3" t="s">
        <v>56</v>
      </c>
      <c r="B8" s="15">
        <v>41318</v>
      </c>
      <c r="C8" s="16" t="s">
        <v>82</v>
      </c>
      <c r="D8" s="12">
        <v>7020</v>
      </c>
      <c r="E8" s="12">
        <v>5625</v>
      </c>
      <c r="F8" s="12"/>
      <c r="G8" s="17">
        <v>41318</v>
      </c>
    </row>
    <row r="9" spans="1:8" s="7" customFormat="1" x14ac:dyDescent="0.25">
      <c r="A9" s="7" t="s">
        <v>86</v>
      </c>
      <c r="B9" s="18">
        <v>41318</v>
      </c>
      <c r="C9" s="19" t="s">
        <v>87</v>
      </c>
      <c r="D9" s="20">
        <v>800</v>
      </c>
      <c r="E9" s="20">
        <v>67</v>
      </c>
      <c r="F9" s="20"/>
      <c r="G9" s="21">
        <v>41318</v>
      </c>
    </row>
    <row r="10" spans="1:8" s="7" customFormat="1" x14ac:dyDescent="0.25">
      <c r="A10" s="7" t="s">
        <v>88</v>
      </c>
      <c r="B10" s="18">
        <v>41346</v>
      </c>
      <c r="C10" s="19" t="s">
        <v>89</v>
      </c>
      <c r="D10" s="20">
        <v>1620</v>
      </c>
      <c r="E10" s="20">
        <v>1620</v>
      </c>
      <c r="F10" s="20">
        <v>648</v>
      </c>
      <c r="G10" s="21">
        <v>41346</v>
      </c>
      <c r="H10" s="7" t="s">
        <v>58</v>
      </c>
    </row>
    <row r="11" spans="1:8" s="7" customFormat="1" x14ac:dyDescent="0.25">
      <c r="A11" s="7" t="s">
        <v>90</v>
      </c>
      <c r="B11" s="18">
        <v>41346</v>
      </c>
      <c r="C11" s="19" t="s">
        <v>91</v>
      </c>
      <c r="D11" s="20">
        <v>2070</v>
      </c>
      <c r="E11" s="20">
        <v>1725</v>
      </c>
      <c r="F11" s="20">
        <v>0</v>
      </c>
      <c r="G11" s="21">
        <v>41346</v>
      </c>
      <c r="H11" s="7" t="s">
        <v>58</v>
      </c>
    </row>
    <row r="12" spans="1:8" s="7" customFormat="1" x14ac:dyDescent="0.25">
      <c r="A12" s="7" t="s">
        <v>35</v>
      </c>
      <c r="B12" s="18">
        <v>41306</v>
      </c>
      <c r="C12" s="19" t="s">
        <v>79</v>
      </c>
      <c r="D12" s="20">
        <v>1440</v>
      </c>
      <c r="E12" s="20">
        <v>600</v>
      </c>
      <c r="F12" s="20"/>
      <c r="G12" s="18">
        <v>41365</v>
      </c>
    </row>
    <row r="13" spans="1:8" s="7" customFormat="1" x14ac:dyDescent="0.25">
      <c r="A13" s="7" t="s">
        <v>80</v>
      </c>
      <c r="B13" s="18">
        <v>41318</v>
      </c>
      <c r="C13" s="19" t="s">
        <v>79</v>
      </c>
      <c r="D13" s="20">
        <v>4140</v>
      </c>
      <c r="E13" s="20">
        <v>2760</v>
      </c>
      <c r="F13" s="20"/>
      <c r="G13" s="18">
        <v>41377</v>
      </c>
    </row>
    <row r="14" spans="1:8" x14ac:dyDescent="0.25">
      <c r="A14" s="3" t="s">
        <v>93</v>
      </c>
      <c r="B14" s="15">
        <v>41377</v>
      </c>
      <c r="C14" s="16" t="s">
        <v>91</v>
      </c>
      <c r="D14" s="12">
        <v>2070</v>
      </c>
      <c r="E14" s="12">
        <v>2070</v>
      </c>
      <c r="F14" s="12"/>
      <c r="G14" s="17">
        <v>41377</v>
      </c>
      <c r="H14" t="s">
        <v>58</v>
      </c>
    </row>
    <row r="15" spans="1:8" x14ac:dyDescent="0.25">
      <c r="A15" s="7" t="s">
        <v>97</v>
      </c>
      <c r="B15" s="18">
        <v>41377</v>
      </c>
      <c r="C15" s="19" t="s">
        <v>77</v>
      </c>
      <c r="D15" s="20">
        <v>1800</v>
      </c>
      <c r="E15" s="20">
        <v>600</v>
      </c>
      <c r="F15" s="20"/>
      <c r="G15" s="21">
        <v>41377</v>
      </c>
      <c r="H15" s="7"/>
    </row>
    <row r="16" spans="1:8" s="7" customFormat="1" x14ac:dyDescent="0.25">
      <c r="A16" s="7" t="s">
        <v>83</v>
      </c>
      <c r="B16" s="18">
        <v>41334</v>
      </c>
      <c r="C16" s="19" t="s">
        <v>84</v>
      </c>
      <c r="D16" s="20">
        <v>1620</v>
      </c>
      <c r="E16" s="20">
        <v>810</v>
      </c>
      <c r="F16" s="20">
        <v>0</v>
      </c>
      <c r="G16" s="21">
        <v>41407</v>
      </c>
    </row>
    <row r="17" spans="1:8" s="7" customFormat="1" x14ac:dyDescent="0.25">
      <c r="A17" s="7" t="s">
        <v>85</v>
      </c>
      <c r="B17" s="18">
        <v>41334</v>
      </c>
      <c r="C17" s="19" t="s">
        <v>84</v>
      </c>
      <c r="D17" s="20">
        <v>2070</v>
      </c>
      <c r="E17" s="20">
        <v>1035</v>
      </c>
      <c r="F17" s="20">
        <v>0</v>
      </c>
      <c r="G17" s="21">
        <v>41407</v>
      </c>
    </row>
    <row r="18" spans="1:8" s="7" customFormat="1" x14ac:dyDescent="0.25">
      <c r="A18" s="7" t="s">
        <v>92</v>
      </c>
      <c r="B18" s="18">
        <v>41346</v>
      </c>
      <c r="C18" s="19" t="s">
        <v>89</v>
      </c>
      <c r="D18" s="20">
        <v>2070</v>
      </c>
      <c r="E18" s="20">
        <v>1208</v>
      </c>
      <c r="F18" s="20">
        <v>0</v>
      </c>
      <c r="G18" s="21">
        <v>41407</v>
      </c>
    </row>
    <row r="19" spans="1:8" s="7" customFormat="1" x14ac:dyDescent="0.25">
      <c r="A19" s="7" t="s">
        <v>96</v>
      </c>
      <c r="B19" s="18">
        <v>41346</v>
      </c>
      <c r="C19" s="19" t="s">
        <v>89</v>
      </c>
      <c r="D19" s="20">
        <v>1620</v>
      </c>
      <c r="E19" s="20">
        <v>945</v>
      </c>
      <c r="F19" s="20">
        <v>0</v>
      </c>
      <c r="G19" s="21">
        <v>41407</v>
      </c>
    </row>
    <row r="20" spans="1:8" s="7" customFormat="1" x14ac:dyDescent="0.25">
      <c r="A20" s="7" t="s">
        <v>98</v>
      </c>
      <c r="B20" s="18">
        <v>41346</v>
      </c>
      <c r="C20" s="19" t="s">
        <v>91</v>
      </c>
      <c r="D20" s="20">
        <v>2070</v>
      </c>
      <c r="E20" s="20">
        <v>1208</v>
      </c>
      <c r="F20" s="20">
        <v>187</v>
      </c>
      <c r="G20" s="21">
        <v>41407</v>
      </c>
    </row>
    <row r="21" spans="1:8" s="7" customFormat="1" x14ac:dyDescent="0.25">
      <c r="A21" s="7" t="s">
        <v>26</v>
      </c>
      <c r="B21" s="18">
        <v>41407</v>
      </c>
      <c r="C21" s="19" t="s">
        <v>99</v>
      </c>
      <c r="D21" s="20">
        <v>2200</v>
      </c>
      <c r="E21" s="20">
        <v>183.33</v>
      </c>
      <c r="F21" s="20">
        <v>0</v>
      </c>
      <c r="G21" s="21">
        <v>41407</v>
      </c>
    </row>
    <row r="22" spans="1:8" x14ac:dyDescent="0.25">
      <c r="A22" s="7" t="s">
        <v>103</v>
      </c>
      <c r="B22" s="15">
        <v>41438</v>
      </c>
      <c r="C22" s="16" t="s">
        <v>104</v>
      </c>
      <c r="D22" s="12">
        <v>1530</v>
      </c>
      <c r="E22" s="12">
        <v>1275</v>
      </c>
      <c r="F22" s="12">
        <v>510</v>
      </c>
      <c r="G22" s="17">
        <v>41438</v>
      </c>
    </row>
    <row r="23" spans="1:8" x14ac:dyDescent="0.25">
      <c r="A23" s="7" t="s">
        <v>46</v>
      </c>
      <c r="B23" s="15">
        <v>41438</v>
      </c>
      <c r="C23" s="16" t="s">
        <v>99</v>
      </c>
      <c r="D23" s="12">
        <v>5000</v>
      </c>
      <c r="E23" s="12">
        <v>3900</v>
      </c>
      <c r="F23" s="12"/>
      <c r="G23" s="17">
        <v>41438</v>
      </c>
    </row>
    <row r="24" spans="1:8" x14ac:dyDescent="0.25">
      <c r="A24" s="7" t="s">
        <v>31</v>
      </c>
      <c r="B24" s="17">
        <v>41438</v>
      </c>
      <c r="C24" s="16" t="s">
        <v>99</v>
      </c>
      <c r="D24" s="12">
        <v>2200</v>
      </c>
      <c r="E24" s="12">
        <v>2200</v>
      </c>
      <c r="F24" s="12"/>
      <c r="G24" s="17">
        <v>41438</v>
      </c>
      <c r="H24" t="s">
        <v>58</v>
      </c>
    </row>
    <row r="25" spans="1:8" s="7" customFormat="1" x14ac:dyDescent="0.25">
      <c r="A25" s="7" t="s">
        <v>52</v>
      </c>
      <c r="B25" s="18">
        <v>41395</v>
      </c>
      <c r="C25" s="19" t="s">
        <v>89</v>
      </c>
      <c r="D25" s="20">
        <v>1620</v>
      </c>
      <c r="E25" s="20">
        <v>810</v>
      </c>
      <c r="F25" s="20">
        <v>0</v>
      </c>
      <c r="G25" s="18">
        <v>41456</v>
      </c>
    </row>
    <row r="26" spans="1:8" x14ac:dyDescent="0.25">
      <c r="A26" s="7" t="s">
        <v>110</v>
      </c>
      <c r="B26" s="17">
        <v>41468</v>
      </c>
      <c r="C26" s="19" t="s">
        <v>89</v>
      </c>
      <c r="D26" s="12">
        <v>2070</v>
      </c>
      <c r="E26" s="12">
        <v>2070</v>
      </c>
      <c r="F26" s="12">
        <v>4</v>
      </c>
      <c r="G26" s="17">
        <v>41468</v>
      </c>
    </row>
    <row r="27" spans="1:8" x14ac:dyDescent="0.25">
      <c r="A27" s="7" t="s">
        <v>111</v>
      </c>
      <c r="B27" s="17">
        <v>41468</v>
      </c>
      <c r="C27" s="19" t="s">
        <v>89</v>
      </c>
      <c r="D27" s="12">
        <v>1620</v>
      </c>
      <c r="E27" s="12">
        <v>810</v>
      </c>
      <c r="F27" s="12">
        <v>0</v>
      </c>
      <c r="G27" s="17">
        <v>41468</v>
      </c>
    </row>
    <row r="28" spans="1:8" x14ac:dyDescent="0.25">
      <c r="A28" s="7" t="s">
        <v>112</v>
      </c>
      <c r="B28" s="17">
        <v>41468</v>
      </c>
      <c r="C28" s="16" t="s">
        <v>113</v>
      </c>
      <c r="D28" s="12">
        <v>3240</v>
      </c>
      <c r="E28" s="12">
        <v>2160</v>
      </c>
      <c r="F28" s="12">
        <v>864</v>
      </c>
      <c r="G28" s="17">
        <v>41468</v>
      </c>
    </row>
    <row r="29" spans="1:8" x14ac:dyDescent="0.25">
      <c r="A29" s="7" t="s">
        <v>32</v>
      </c>
      <c r="B29" s="17">
        <v>41499</v>
      </c>
      <c r="C29" s="16" t="s">
        <v>99</v>
      </c>
      <c r="D29" s="12">
        <v>2200</v>
      </c>
      <c r="E29" s="12">
        <v>2016.67</v>
      </c>
      <c r="F29" s="12">
        <v>0</v>
      </c>
      <c r="G29" s="17">
        <v>41499</v>
      </c>
    </row>
    <row r="30" spans="1:8" x14ac:dyDescent="0.25">
      <c r="A30" s="7" t="s">
        <v>51</v>
      </c>
      <c r="B30" s="17">
        <v>41530</v>
      </c>
      <c r="C30" s="16" t="s">
        <v>119</v>
      </c>
      <c r="D30" s="12">
        <v>3240</v>
      </c>
      <c r="E30" s="12">
        <v>1620</v>
      </c>
      <c r="F30" s="12">
        <v>344</v>
      </c>
      <c r="G30" s="17">
        <v>41530</v>
      </c>
    </row>
    <row r="31" spans="1:8" x14ac:dyDescent="0.25">
      <c r="A31" s="7" t="s">
        <v>120</v>
      </c>
      <c r="B31" s="17">
        <v>41560</v>
      </c>
      <c r="C31" s="19" t="s">
        <v>79</v>
      </c>
      <c r="D31" s="12">
        <v>3690</v>
      </c>
      <c r="E31" s="12">
        <v>615</v>
      </c>
      <c r="F31" s="12">
        <v>85</v>
      </c>
      <c r="G31" s="17">
        <v>41560</v>
      </c>
    </row>
    <row r="32" spans="1:8" x14ac:dyDescent="0.25">
      <c r="B32" s="14"/>
      <c r="C32" s="16"/>
      <c r="D32" s="12"/>
      <c r="E32" s="12"/>
      <c r="F32" s="12"/>
      <c r="G32" s="14"/>
    </row>
    <row r="33" spans="2:7" x14ac:dyDescent="0.25">
      <c r="B33" s="14"/>
      <c r="C33" s="16"/>
      <c r="D33" s="12"/>
      <c r="E33" s="12"/>
      <c r="F33" s="12"/>
      <c r="G33" s="14"/>
    </row>
    <row r="34" spans="2:7" x14ac:dyDescent="0.25">
      <c r="B34" s="14"/>
      <c r="C34" s="16"/>
      <c r="D34" s="12"/>
      <c r="E34" s="12"/>
      <c r="F34" s="12"/>
      <c r="G34" s="14"/>
    </row>
    <row r="35" spans="2:7" x14ac:dyDescent="0.25">
      <c r="B35" s="13"/>
      <c r="C35" s="16"/>
      <c r="D35" s="12"/>
      <c r="E35" s="12"/>
      <c r="F35" s="12"/>
      <c r="G35" s="14"/>
    </row>
    <row r="36" spans="2:7" x14ac:dyDescent="0.25">
      <c r="B36" s="13"/>
      <c r="C36" s="16"/>
      <c r="D36" s="12"/>
      <c r="E36" s="12"/>
      <c r="F36" s="12"/>
      <c r="G36" s="14"/>
    </row>
    <row r="37" spans="2:7" x14ac:dyDescent="0.25">
      <c r="B37" s="13"/>
      <c r="C37" s="16"/>
      <c r="D37" s="12"/>
      <c r="E37" s="12"/>
      <c r="F37" s="12"/>
      <c r="G37" s="14"/>
    </row>
    <row r="38" spans="2:7" x14ac:dyDescent="0.25">
      <c r="B38" s="13"/>
      <c r="C38" s="16"/>
      <c r="D38" s="12"/>
      <c r="E38" s="12"/>
      <c r="F38" s="12"/>
      <c r="G38" s="14"/>
    </row>
    <row r="39" spans="2:7" x14ac:dyDescent="0.25">
      <c r="B39" s="13"/>
      <c r="C39" s="16"/>
      <c r="D39" s="12"/>
      <c r="E39" s="12"/>
      <c r="F39" s="12"/>
      <c r="G39" s="14"/>
    </row>
    <row r="40" spans="2:7" x14ac:dyDescent="0.25">
      <c r="B40" s="13"/>
      <c r="D40" s="12"/>
      <c r="E40" s="12"/>
      <c r="F40" s="12"/>
      <c r="G40" s="14"/>
    </row>
    <row r="41" spans="2:7" x14ac:dyDescent="0.25">
      <c r="B41" s="13"/>
      <c r="D41" s="12"/>
      <c r="E41" s="12"/>
      <c r="F41" s="12"/>
      <c r="G41" s="14"/>
    </row>
    <row r="42" spans="2:7" x14ac:dyDescent="0.25">
      <c r="B42" s="13"/>
      <c r="D42" s="12"/>
      <c r="E42" s="12"/>
      <c r="F42" s="12"/>
      <c r="G42" s="13"/>
    </row>
    <row r="43" spans="2:7" x14ac:dyDescent="0.25">
      <c r="B43" s="13"/>
      <c r="D43" s="12"/>
      <c r="E43" s="12"/>
      <c r="F43" s="12"/>
      <c r="G43" s="13"/>
    </row>
    <row r="44" spans="2:7" x14ac:dyDescent="0.25">
      <c r="B44" s="13"/>
      <c r="D44" s="12"/>
      <c r="E44" s="12"/>
      <c r="F44" s="12"/>
    </row>
    <row r="45" spans="2:7" x14ac:dyDescent="0.25">
      <c r="B45" s="13"/>
      <c r="D45" s="12"/>
      <c r="E45" s="12"/>
      <c r="F45" s="12"/>
    </row>
  </sheetData>
  <sortState ref="A2:H20">
    <sortCondition ref="G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34"/>
  <sheetViews>
    <sheetView topLeftCell="A97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1358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70" t="s">
        <v>1</v>
      </c>
      <c r="B4" s="57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76" t="s">
        <v>1384</v>
      </c>
      <c r="B5" s="530" t="s">
        <v>61</v>
      </c>
      <c r="C5" s="531">
        <v>2</v>
      </c>
      <c r="D5" s="542">
        <v>3286</v>
      </c>
      <c r="E5" s="531">
        <v>2</v>
      </c>
      <c r="F5" s="542">
        <v>3386</v>
      </c>
      <c r="G5" s="535">
        <f t="shared" ref="G5:H35" si="0">E5-C5</f>
        <v>0</v>
      </c>
      <c r="H5" s="542">
        <f t="shared" si="0"/>
        <v>100</v>
      </c>
      <c r="I5" s="542"/>
      <c r="J5" s="542">
        <v>1354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7" si="1">SUM(K5:Y5)</f>
        <v>0</v>
      </c>
    </row>
    <row r="6" spans="1:26" ht="14.45" customHeight="1" x14ac:dyDescent="0.25">
      <c r="A6" s="576" t="s">
        <v>253</v>
      </c>
      <c r="B6" s="531" t="s">
        <v>115</v>
      </c>
      <c r="C6" s="531">
        <v>8</v>
      </c>
      <c r="D6" s="542">
        <v>11914</v>
      </c>
      <c r="E6" s="531">
        <v>8</v>
      </c>
      <c r="F6" s="542">
        <v>11172.1</v>
      </c>
      <c r="G6" s="535">
        <f t="shared" si="0"/>
        <v>0</v>
      </c>
      <c r="H6" s="542">
        <f t="shared" si="0"/>
        <v>-741.89999999999964</v>
      </c>
      <c r="I6" s="542"/>
      <c r="J6" s="542">
        <v>3589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76" t="s">
        <v>1639</v>
      </c>
      <c r="B7" s="530" t="s">
        <v>115</v>
      </c>
      <c r="C7" s="531">
        <v>7</v>
      </c>
      <c r="D7" s="542">
        <v>11501</v>
      </c>
      <c r="E7" s="531">
        <v>7</v>
      </c>
      <c r="F7" s="542">
        <v>11851</v>
      </c>
      <c r="G7" s="535">
        <f t="shared" si="0"/>
        <v>0</v>
      </c>
      <c r="H7" s="542">
        <f t="shared" si="0"/>
        <v>350</v>
      </c>
      <c r="I7" s="542"/>
      <c r="J7" s="542">
        <v>4740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76" t="s">
        <v>1618</v>
      </c>
      <c r="B8" s="530" t="s">
        <v>115</v>
      </c>
      <c r="C8" s="531">
        <v>3</v>
      </c>
      <c r="D8" s="542">
        <v>4929</v>
      </c>
      <c r="E8" s="531">
        <v>3</v>
      </c>
      <c r="F8" s="542">
        <v>5079</v>
      </c>
      <c r="G8" s="535">
        <f t="shared" si="0"/>
        <v>0</v>
      </c>
      <c r="H8" s="542">
        <f t="shared" si="0"/>
        <v>150</v>
      </c>
      <c r="I8" s="542"/>
      <c r="J8" s="542">
        <v>2032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76" t="s">
        <v>1379</v>
      </c>
      <c r="B9" s="530" t="s">
        <v>61</v>
      </c>
      <c r="C9" s="531">
        <v>3</v>
      </c>
      <c r="D9" s="542">
        <v>4650</v>
      </c>
      <c r="E9" s="531">
        <v>3</v>
      </c>
      <c r="F9" s="542">
        <v>4650</v>
      </c>
      <c r="G9" s="535">
        <f t="shared" si="0"/>
        <v>0</v>
      </c>
      <c r="H9" s="542">
        <f t="shared" si="0"/>
        <v>0</v>
      </c>
      <c r="I9" s="542"/>
      <c r="J9" s="542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78" t="s">
        <v>1619</v>
      </c>
      <c r="B10" s="530" t="s">
        <v>61</v>
      </c>
      <c r="C10" s="531">
        <v>1</v>
      </c>
      <c r="D10" s="542">
        <v>3795</v>
      </c>
      <c r="E10" s="531">
        <v>1</v>
      </c>
      <c r="F10" s="542">
        <v>3843</v>
      </c>
      <c r="G10" s="535">
        <f t="shared" si="0"/>
        <v>0</v>
      </c>
      <c r="H10" s="542">
        <f t="shared" si="0"/>
        <v>48</v>
      </c>
      <c r="I10" s="542"/>
      <c r="J10" s="542">
        <v>657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76" t="s">
        <v>372</v>
      </c>
      <c r="B11" s="531" t="s">
        <v>61</v>
      </c>
      <c r="C11" s="531">
        <v>2</v>
      </c>
      <c r="D11" s="542">
        <v>3286</v>
      </c>
      <c r="E11" s="531">
        <v>2</v>
      </c>
      <c r="F11" s="542">
        <v>3386</v>
      </c>
      <c r="G11" s="535">
        <f t="shared" si="0"/>
        <v>0</v>
      </c>
      <c r="H11" s="542">
        <f t="shared" si="0"/>
        <v>100</v>
      </c>
      <c r="I11" s="542"/>
      <c r="J11" s="542">
        <v>1354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89" t="s">
        <v>1616</v>
      </c>
      <c r="B12" s="530" t="s">
        <v>61</v>
      </c>
      <c r="C12" s="531">
        <v>5</v>
      </c>
      <c r="D12" s="542">
        <v>7240</v>
      </c>
      <c r="E12" s="531">
        <v>5</v>
      </c>
      <c r="F12" s="542">
        <v>8465</v>
      </c>
      <c r="G12" s="535">
        <f t="shared" si="0"/>
        <v>0</v>
      </c>
      <c r="H12" s="542">
        <f t="shared" si="0"/>
        <v>1225</v>
      </c>
      <c r="I12" s="542"/>
      <c r="J12" s="542">
        <v>3386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76" t="s">
        <v>1415</v>
      </c>
      <c r="B13" s="530" t="s">
        <v>61</v>
      </c>
      <c r="C13" s="531">
        <v>2</v>
      </c>
      <c r="D13" s="542">
        <v>3286</v>
      </c>
      <c r="E13" s="531">
        <v>2</v>
      </c>
      <c r="F13" s="542">
        <v>3386</v>
      </c>
      <c r="G13" s="535">
        <f t="shared" si="0"/>
        <v>0</v>
      </c>
      <c r="H13" s="542">
        <f t="shared" si="0"/>
        <v>100</v>
      </c>
      <c r="I13" s="542"/>
      <c r="J13" s="542">
        <v>1354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76" t="s">
        <v>373</v>
      </c>
      <c r="B14" s="531" t="s">
        <v>61</v>
      </c>
      <c r="C14" s="531">
        <v>4</v>
      </c>
      <c r="D14" s="542">
        <v>6572</v>
      </c>
      <c r="E14" s="531">
        <v>4</v>
      </c>
      <c r="F14" s="542">
        <v>6772</v>
      </c>
      <c r="G14" s="535">
        <f t="shared" si="0"/>
        <v>0</v>
      </c>
      <c r="H14" s="542">
        <f t="shared" si="0"/>
        <v>200</v>
      </c>
      <c r="I14" s="542"/>
      <c r="J14" s="542">
        <v>2709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76" t="s">
        <v>1386</v>
      </c>
      <c r="B15" s="530" t="s">
        <v>61</v>
      </c>
      <c r="C15" s="531">
        <v>2</v>
      </c>
      <c r="D15" s="542">
        <v>5486</v>
      </c>
      <c r="E15" s="531">
        <v>2</v>
      </c>
      <c r="F15" s="542">
        <v>5586</v>
      </c>
      <c r="G15" s="535">
        <f t="shared" si="0"/>
        <v>0</v>
      </c>
      <c r="H15" s="542">
        <f t="shared" si="0"/>
        <v>100</v>
      </c>
      <c r="I15" s="542"/>
      <c r="J15" s="542">
        <v>1354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76" t="s">
        <v>1387</v>
      </c>
      <c r="B16" s="530" t="s">
        <v>61</v>
      </c>
      <c r="C16" s="531">
        <v>2</v>
      </c>
      <c r="D16" s="542">
        <v>3286</v>
      </c>
      <c r="E16" s="531">
        <v>2</v>
      </c>
      <c r="F16" s="542">
        <v>3386</v>
      </c>
      <c r="G16" s="535">
        <f t="shared" si="0"/>
        <v>0</v>
      </c>
      <c r="H16" s="542">
        <f t="shared" si="0"/>
        <v>100</v>
      </c>
      <c r="I16" s="542"/>
      <c r="J16" s="542">
        <v>1354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76" t="s">
        <v>1388</v>
      </c>
      <c r="B17" s="530" t="s">
        <v>61</v>
      </c>
      <c r="C17" s="531">
        <v>2</v>
      </c>
      <c r="D17" s="542">
        <v>3286</v>
      </c>
      <c r="E17" s="531">
        <v>2</v>
      </c>
      <c r="F17" s="542">
        <v>3386</v>
      </c>
      <c r="G17" s="535">
        <f t="shared" si="0"/>
        <v>0</v>
      </c>
      <c r="H17" s="542">
        <f t="shared" si="0"/>
        <v>100</v>
      </c>
      <c r="I17" s="542"/>
      <c r="J17" s="542">
        <v>1354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76" t="s">
        <v>174</v>
      </c>
      <c r="B18" s="530" t="s">
        <v>115</v>
      </c>
      <c r="C18" s="531">
        <v>7</v>
      </c>
      <c r="D18" s="542">
        <v>12020</v>
      </c>
      <c r="E18" s="531">
        <v>7</v>
      </c>
      <c r="F18" s="542">
        <v>11851</v>
      </c>
      <c r="G18" s="535">
        <f t="shared" si="0"/>
        <v>0</v>
      </c>
      <c r="H18" s="542">
        <f t="shared" si="0"/>
        <v>-169</v>
      </c>
      <c r="I18" s="542"/>
      <c r="J18" s="542">
        <v>4120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90" t="s">
        <v>191</v>
      </c>
      <c r="B19" s="530" t="s">
        <v>61</v>
      </c>
      <c r="C19" s="531">
        <v>8</v>
      </c>
      <c r="D19" s="542">
        <v>10214.4</v>
      </c>
      <c r="E19" s="531">
        <v>8</v>
      </c>
      <c r="F19" s="542">
        <v>10105</v>
      </c>
      <c r="G19" s="535">
        <f t="shared" si="0"/>
        <v>0</v>
      </c>
      <c r="H19" s="542">
        <f t="shared" si="0"/>
        <v>-109.39999999999964</v>
      </c>
      <c r="I19" s="542"/>
      <c r="J19" s="542">
        <v>4000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76" t="s">
        <v>197</v>
      </c>
      <c r="B20" s="530" t="s">
        <v>115</v>
      </c>
      <c r="C20" s="531">
        <v>7</v>
      </c>
      <c r="D20" s="542">
        <v>13133</v>
      </c>
      <c r="E20" s="531">
        <v>7</v>
      </c>
      <c r="F20" s="542">
        <v>12954</v>
      </c>
      <c r="G20" s="535">
        <f t="shared" si="0"/>
        <v>0</v>
      </c>
      <c r="H20" s="542">
        <f t="shared" si="0"/>
        <v>-179</v>
      </c>
      <c r="I20" s="542"/>
      <c r="J20" s="542">
        <v>4000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1"/>
      <c r="B21" s="530"/>
      <c r="C21" s="531"/>
      <c r="D21" s="542"/>
      <c r="E21" s="535"/>
      <c r="F21" s="542"/>
      <c r="G21" s="535">
        <f t="shared" si="0"/>
        <v>0</v>
      </c>
      <c r="H21" s="542">
        <f t="shared" si="0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0"/>
      <c r="B22" s="530"/>
      <c r="C22" s="531"/>
      <c r="D22" s="542"/>
      <c r="E22" s="535"/>
      <c r="F22" s="542"/>
      <c r="G22" s="535">
        <f t="shared" si="0"/>
        <v>0</v>
      </c>
      <c r="H22" s="542">
        <f t="shared" si="0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530"/>
      <c r="B23" s="530"/>
      <c r="C23" s="531"/>
      <c r="D23" s="542"/>
      <c r="E23" s="535"/>
      <c r="F23" s="542"/>
      <c r="G23" s="535">
        <f t="shared" si="0"/>
        <v>0</v>
      </c>
      <c r="H23" s="542">
        <f t="shared" si="0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530"/>
      <c r="B24" s="530"/>
      <c r="C24" s="531"/>
      <c r="D24" s="542"/>
      <c r="E24" s="535"/>
      <c r="F24" s="542"/>
      <c r="G24" s="535">
        <f t="shared" si="0"/>
        <v>0</v>
      </c>
      <c r="H24" s="542">
        <f t="shared" si="0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530"/>
      <c r="B25" s="530"/>
      <c r="C25" s="531"/>
      <c r="D25" s="542"/>
      <c r="E25" s="535"/>
      <c r="F25" s="542"/>
      <c r="G25" s="535">
        <f t="shared" si="0"/>
        <v>0</v>
      </c>
      <c r="H25" s="542">
        <f t="shared" si="0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531"/>
      <c r="B26" s="530"/>
      <c r="C26" s="531"/>
      <c r="D26" s="542"/>
      <c r="E26" s="535"/>
      <c r="F26" s="542"/>
      <c r="G26" s="535">
        <f t="shared" si="0"/>
        <v>0</v>
      </c>
      <c r="H26" s="542">
        <f t="shared" si="0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hidden="1" customHeight="1" x14ac:dyDescent="0.25">
      <c r="A27" s="536"/>
      <c r="B27" s="530"/>
      <c r="C27" s="531"/>
      <c r="D27" s="542"/>
      <c r="E27" s="535"/>
      <c r="F27" s="542"/>
      <c r="G27" s="535">
        <f t="shared" si="0"/>
        <v>0</v>
      </c>
      <c r="H27" s="542">
        <f t="shared" si="0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hidden="1" customHeight="1" x14ac:dyDescent="0.25">
      <c r="A28" s="531"/>
      <c r="B28" s="530"/>
      <c r="C28" s="531"/>
      <c r="D28" s="542"/>
      <c r="E28" s="535"/>
      <c r="F28" s="542"/>
      <c r="G28" s="535">
        <f t="shared" si="0"/>
        <v>0</v>
      </c>
      <c r="H28" s="542">
        <f t="shared" si="0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hidden="1" customHeight="1" x14ac:dyDescent="0.25">
      <c r="A29" s="531"/>
      <c r="B29" s="530"/>
      <c r="C29" s="531"/>
      <c r="D29" s="542"/>
      <c r="E29" s="535"/>
      <c r="F29" s="542"/>
      <c r="G29" s="535">
        <f t="shared" si="0"/>
        <v>0</v>
      </c>
      <c r="H29" s="542">
        <f t="shared" si="0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hidden="1" customHeight="1" x14ac:dyDescent="0.25">
      <c r="A30" s="531"/>
      <c r="B30" s="530"/>
      <c r="C30" s="531"/>
      <c r="D30" s="542"/>
      <c r="E30" s="535"/>
      <c r="F30" s="542"/>
      <c r="G30" s="535">
        <f t="shared" si="0"/>
        <v>0</v>
      </c>
      <c r="H30" s="542">
        <f t="shared" si="0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hidden="1" customHeight="1" x14ac:dyDescent="0.25">
      <c r="A31" s="531"/>
      <c r="B31" s="530"/>
      <c r="C31" s="531"/>
      <c r="D31" s="542"/>
      <c r="E31" s="535"/>
      <c r="F31" s="542"/>
      <c r="G31" s="535">
        <f t="shared" si="0"/>
        <v>0</v>
      </c>
      <c r="H31" s="542">
        <f t="shared" si="0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hidden="1" customHeight="1" x14ac:dyDescent="0.25">
      <c r="A32" s="531"/>
      <c r="B32" s="530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hidden="1" customHeight="1" x14ac:dyDescent="0.25">
      <c r="A33" s="531"/>
      <c r="B33" s="530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hidden="1" customHeight="1" x14ac:dyDescent="0.25">
      <c r="A34" s="531"/>
      <c r="B34" s="530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hidden="1" customHeight="1" x14ac:dyDescent="0.25">
      <c r="A35" s="531"/>
      <c r="B35" s="530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hidden="1" customHeight="1" x14ac:dyDescent="0.25">
      <c r="A36" s="531"/>
      <c r="B36" s="530"/>
      <c r="C36" s="531"/>
      <c r="D36" s="542"/>
      <c r="E36" s="535"/>
      <c r="F36" s="542"/>
      <c r="G36" s="535">
        <f t="shared" ref="G36:H67" si="2">E36-C36</f>
        <v>0</v>
      </c>
      <c r="H36" s="542">
        <f t="shared" si="2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0"/>
      <c r="B37" s="530"/>
      <c r="C37" s="531"/>
      <c r="D37" s="542"/>
      <c r="E37" s="535"/>
      <c r="F37" s="542"/>
      <c r="G37" s="535">
        <f t="shared" si="2"/>
        <v>0</v>
      </c>
      <c r="H37" s="542">
        <f t="shared" si="2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>
        <f t="shared" si="2"/>
        <v>0</v>
      </c>
      <c r="H38" s="542">
        <f t="shared" si="2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>
        <f t="shared" si="2"/>
        <v>0</v>
      </c>
      <c r="H39" s="542">
        <f t="shared" si="2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>
        <f t="shared" si="2"/>
        <v>0</v>
      </c>
      <c r="H40" s="542">
        <f t="shared" si="2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>
        <f t="shared" si="2"/>
        <v>0</v>
      </c>
      <c r="H41" s="542">
        <f t="shared" si="2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5" hidden="1" customHeight="1" x14ac:dyDescent="0.25">
      <c r="A42" s="530"/>
      <c r="B42" s="530"/>
      <c r="C42" s="531"/>
      <c r="D42" s="542"/>
      <c r="E42" s="535"/>
      <c r="F42" s="542"/>
      <c r="G42" s="535">
        <f t="shared" si="2"/>
        <v>0</v>
      </c>
      <c r="H42" s="542">
        <f t="shared" si="2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2"/>
        <v>0</v>
      </c>
      <c r="H43" s="542">
        <f t="shared" si="2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0"/>
      <c r="D44" s="542"/>
      <c r="E44" s="535"/>
      <c r="F44" s="542"/>
      <c r="G44" s="535">
        <f t="shared" si="2"/>
        <v>0</v>
      </c>
      <c r="H44" s="542">
        <f t="shared" si="2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1"/>
      <c r="D45" s="542"/>
      <c r="E45" s="535"/>
      <c r="F45" s="542"/>
      <c r="G45" s="535">
        <f t="shared" si="2"/>
        <v>0</v>
      </c>
      <c r="H45" s="542">
        <f t="shared" si="2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2"/>
        <v>0</v>
      </c>
      <c r="H46" s="542">
        <f t="shared" si="2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2"/>
        <v>0</v>
      </c>
      <c r="H47" s="542">
        <f t="shared" si="2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7"/>
      <c r="B48" s="530"/>
      <c r="C48" s="531"/>
      <c r="D48" s="542"/>
      <c r="E48" s="535"/>
      <c r="F48" s="542"/>
      <c r="G48" s="535">
        <f t="shared" si="2"/>
        <v>0</v>
      </c>
      <c r="H48" s="542">
        <f t="shared" si="2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1"/>
      <c r="B49" s="530"/>
      <c r="C49" s="531"/>
      <c r="D49" s="542"/>
      <c r="E49" s="535"/>
      <c r="F49" s="542"/>
      <c r="G49" s="535">
        <f t="shared" si="2"/>
        <v>0</v>
      </c>
      <c r="H49" s="542">
        <f t="shared" si="2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0"/>
      <c r="B50" s="530"/>
      <c r="C50" s="530"/>
      <c r="D50" s="542"/>
      <c r="E50" s="530"/>
      <c r="F50" s="542"/>
      <c r="G50" s="535">
        <f t="shared" si="2"/>
        <v>0</v>
      </c>
      <c r="H50" s="542">
        <f t="shared" si="2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2"/>
        <v>0</v>
      </c>
      <c r="H51" s="542">
        <f t="shared" si="2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2"/>
        <v>0</v>
      </c>
      <c r="H52" s="542">
        <f t="shared" si="2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2"/>
        <v>0</v>
      </c>
      <c r="H53" s="542">
        <f t="shared" si="2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2"/>
        <v>0</v>
      </c>
      <c r="H54" s="542">
        <f t="shared" si="2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2"/>
        <v>0</v>
      </c>
      <c r="H55" s="542">
        <f t="shared" si="2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2"/>
        <v>0</v>
      </c>
      <c r="H56" s="542">
        <f t="shared" si="2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1"/>
      <c r="D57" s="542"/>
      <c r="E57" s="531"/>
      <c r="F57" s="542"/>
      <c r="G57" s="535">
        <f t="shared" si="2"/>
        <v>0</v>
      </c>
      <c r="H57" s="542">
        <f t="shared" si="2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2"/>
        <v>0</v>
      </c>
      <c r="H58" s="542">
        <f t="shared" si="2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2"/>
        <v>0</v>
      </c>
      <c r="H59" s="542">
        <f t="shared" si="2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5"/>
      <c r="F60" s="542"/>
      <c r="G60" s="535">
        <f t="shared" si="2"/>
        <v>0</v>
      </c>
      <c r="H60" s="542">
        <f t="shared" si="2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2"/>
        <v>0</v>
      </c>
      <c r="H61" s="542">
        <f t="shared" si="2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2"/>
        <v>0</v>
      </c>
      <c r="H62" s="542">
        <f t="shared" si="2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2"/>
        <v>0</v>
      </c>
      <c r="H63" s="542">
        <f t="shared" si="2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2"/>
        <v>0</v>
      </c>
      <c r="H64" s="542">
        <f t="shared" si="2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2"/>
        <v>0</v>
      </c>
      <c r="H65" s="542">
        <f t="shared" si="2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2"/>
        <v>0</v>
      </c>
      <c r="H66" s="542">
        <f t="shared" si="2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2"/>
        <v>0</v>
      </c>
      <c r="H67" s="542">
        <f t="shared" si="2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ref="G68:H82" si="3">E68-C68</f>
        <v>0</v>
      </c>
      <c r="H68" s="542">
        <f t="shared" si="3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ref="Z68:Z82" si="4">SUM(K68:Y68)</f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si="3"/>
        <v>0</v>
      </c>
      <c r="H69" s="542">
        <f t="shared" si="3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4"/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3"/>
        <v>0</v>
      </c>
      <c r="H70" s="542">
        <f t="shared" si="3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3"/>
        <v>0</v>
      </c>
      <c r="H71" s="542">
        <f t="shared" si="3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hidden="1" customHeight="1" x14ac:dyDescent="0.25">
      <c r="A72" s="534"/>
      <c r="B72" s="530"/>
      <c r="C72" s="531"/>
      <c r="D72" s="542"/>
      <c r="E72" s="535"/>
      <c r="F72" s="542"/>
      <c r="G72" s="535">
        <f t="shared" si="3"/>
        <v>0</v>
      </c>
      <c r="H72" s="542">
        <f t="shared" si="3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hidden="1" customHeight="1" x14ac:dyDescent="0.25">
      <c r="A73" s="530"/>
      <c r="B73" s="530"/>
      <c r="C73" s="531"/>
      <c r="D73" s="542"/>
      <c r="E73" s="535"/>
      <c r="F73" s="542"/>
      <c r="G73" s="535">
        <f t="shared" si="3"/>
        <v>0</v>
      </c>
      <c r="H73" s="542">
        <f t="shared" si="3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hidden="1" customHeight="1" x14ac:dyDescent="0.25">
      <c r="A74" s="534"/>
      <c r="B74" s="530"/>
      <c r="C74" s="531"/>
      <c r="D74" s="542"/>
      <c r="E74" s="535"/>
      <c r="F74" s="542"/>
      <c r="G74" s="535">
        <f t="shared" si="3"/>
        <v>0</v>
      </c>
      <c r="H74" s="542">
        <f t="shared" si="3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hidden="1" customHeight="1" x14ac:dyDescent="0.25">
      <c r="A75" s="530"/>
      <c r="B75" s="530"/>
      <c r="C75" s="531"/>
      <c r="D75" s="542"/>
      <c r="E75" s="535"/>
      <c r="F75" s="542"/>
      <c r="G75" s="535">
        <f t="shared" si="3"/>
        <v>0</v>
      </c>
      <c r="H75" s="542">
        <f t="shared" si="3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hidden="1" customHeight="1" x14ac:dyDescent="0.25">
      <c r="A76" s="533"/>
      <c r="B76" s="530"/>
      <c r="C76" s="531"/>
      <c r="D76" s="542"/>
      <c r="E76" s="535"/>
      <c r="F76" s="542"/>
      <c r="G76" s="535">
        <f t="shared" si="3"/>
        <v>0</v>
      </c>
      <c r="H76" s="542">
        <f t="shared" si="3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hidden="1" customHeight="1" x14ac:dyDescent="0.25">
      <c r="A77" s="530"/>
      <c r="B77" s="530"/>
      <c r="C77" s="531"/>
      <c r="D77" s="542"/>
      <c r="E77" s="535"/>
      <c r="F77" s="542"/>
      <c r="G77" s="535">
        <f t="shared" si="3"/>
        <v>0</v>
      </c>
      <c r="H77" s="542">
        <f t="shared" si="3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4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3"/>
        <v>0</v>
      </c>
      <c r="H78" s="542">
        <f t="shared" si="3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4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3"/>
        <v>0</v>
      </c>
      <c r="H79" s="542">
        <f t="shared" si="3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4"/>
        <v>0</v>
      </c>
    </row>
    <row r="80" spans="1:26" ht="15" hidden="1" customHeight="1" x14ac:dyDescent="0.25">
      <c r="A80" s="530"/>
      <c r="B80" s="530"/>
      <c r="C80" s="530"/>
      <c r="D80" s="542"/>
      <c r="E80" s="535"/>
      <c r="F80" s="542"/>
      <c r="G80" s="535">
        <f t="shared" si="3"/>
        <v>0</v>
      </c>
      <c r="H80" s="542">
        <f t="shared" si="3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4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3"/>
        <v>0</v>
      </c>
      <c r="H81" s="542">
        <f t="shared" si="3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4"/>
        <v>0</v>
      </c>
    </row>
    <row r="82" spans="1:26" ht="15" customHeight="1" x14ac:dyDescent="0.25">
      <c r="A82" s="535"/>
      <c r="B82" s="535"/>
      <c r="C82" s="535"/>
      <c r="D82" s="542"/>
      <c r="E82" s="535"/>
      <c r="F82" s="542"/>
      <c r="G82" s="535">
        <f t="shared" si="3"/>
        <v>0</v>
      </c>
      <c r="H82" s="542">
        <f t="shared" si="3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4"/>
        <v>0</v>
      </c>
    </row>
    <row r="83" spans="1:26" ht="15" customHeight="1" x14ac:dyDescent="0.25">
      <c r="A83" s="443" t="s">
        <v>1221</v>
      </c>
      <c r="B83" s="444"/>
      <c r="C83" s="447">
        <f t="shared" ref="C83:Z83" si="5">SUM(C5:C82)</f>
        <v>65</v>
      </c>
      <c r="D83" s="466">
        <f t="shared" si="5"/>
        <v>107884.4</v>
      </c>
      <c r="E83" s="447">
        <f t="shared" si="5"/>
        <v>65</v>
      </c>
      <c r="F83" s="466">
        <f t="shared" si="5"/>
        <v>109258.1</v>
      </c>
      <c r="G83" s="447">
        <f t="shared" si="5"/>
        <v>0</v>
      </c>
      <c r="H83" s="466">
        <f t="shared" si="5"/>
        <v>1373.7000000000007</v>
      </c>
      <c r="I83" s="448">
        <f t="shared" si="5"/>
        <v>0</v>
      </c>
      <c r="J83" s="447">
        <f t="shared" si="5"/>
        <v>37357</v>
      </c>
      <c r="K83" s="448">
        <f t="shared" si="5"/>
        <v>0</v>
      </c>
      <c r="L83" s="447">
        <f t="shared" si="5"/>
        <v>0</v>
      </c>
      <c r="M83" s="447">
        <f t="shared" si="5"/>
        <v>0</v>
      </c>
      <c r="N83" s="447">
        <f t="shared" si="5"/>
        <v>0</v>
      </c>
      <c r="O83" s="447">
        <f t="shared" si="5"/>
        <v>0</v>
      </c>
      <c r="P83" s="447">
        <f t="shared" si="5"/>
        <v>0</v>
      </c>
      <c r="Q83" s="447">
        <f t="shared" si="5"/>
        <v>0</v>
      </c>
      <c r="R83" s="447">
        <f t="shared" si="5"/>
        <v>0</v>
      </c>
      <c r="S83" s="447">
        <f t="shared" si="5"/>
        <v>0</v>
      </c>
      <c r="T83" s="447">
        <f t="shared" si="5"/>
        <v>0</v>
      </c>
      <c r="U83" s="447">
        <f t="shared" si="5"/>
        <v>0</v>
      </c>
      <c r="V83" s="447">
        <f t="shared" si="5"/>
        <v>0</v>
      </c>
      <c r="W83" s="447">
        <f t="shared" si="5"/>
        <v>0</v>
      </c>
      <c r="X83" s="447">
        <f t="shared" si="5"/>
        <v>0</v>
      </c>
      <c r="Y83" s="447">
        <f t="shared" si="5"/>
        <v>0</v>
      </c>
      <c r="Z83" s="447">
        <f t="shared" si="5"/>
        <v>0</v>
      </c>
    </row>
    <row r="85" spans="1:26" x14ac:dyDescent="0.25">
      <c r="A85" s="739" t="s">
        <v>1227</v>
      </c>
      <c r="B85" s="739"/>
    </row>
    <row r="86" spans="1:26" ht="30" x14ac:dyDescent="0.25">
      <c r="A86" s="547" t="s">
        <v>1</v>
      </c>
      <c r="B86" s="547"/>
      <c r="C86" s="548" t="s">
        <v>1222</v>
      </c>
      <c r="D86" s="548" t="s">
        <v>1223</v>
      </c>
      <c r="E86" s="548" t="s">
        <v>392</v>
      </c>
      <c r="F86" s="549" t="s">
        <v>2</v>
      </c>
      <c r="G86" s="550" t="s">
        <v>1225</v>
      </c>
      <c r="H86" s="551" t="s">
        <v>1224</v>
      </c>
      <c r="I86" s="551" t="s">
        <v>1498</v>
      </c>
      <c r="J86" s="551" t="s">
        <v>94</v>
      </c>
      <c r="K86" s="552" t="s">
        <v>681</v>
      </c>
      <c r="L86" s="552" t="s">
        <v>1496</v>
      </c>
      <c r="M86" s="552" t="s">
        <v>1497</v>
      </c>
      <c r="N86" s="552" t="s">
        <v>682</v>
      </c>
      <c r="O86" s="552" t="s">
        <v>683</v>
      </c>
      <c r="P86" s="552" t="s">
        <v>87</v>
      </c>
      <c r="Q86" s="552" t="s">
        <v>684</v>
      </c>
      <c r="R86" s="552" t="s">
        <v>685</v>
      </c>
      <c r="S86" s="552" t="s">
        <v>690</v>
      </c>
      <c r="T86" s="552" t="s">
        <v>686</v>
      </c>
      <c r="U86" s="552" t="s">
        <v>687</v>
      </c>
      <c r="V86" s="552" t="s">
        <v>688</v>
      </c>
      <c r="W86" s="552" t="s">
        <v>689</v>
      </c>
      <c r="X86" s="552" t="s">
        <v>138</v>
      </c>
      <c r="Y86" s="552" t="s">
        <v>1385</v>
      </c>
      <c r="Z86" s="552" t="s">
        <v>1238</v>
      </c>
    </row>
    <row r="87" spans="1:26" ht="15" customHeight="1" x14ac:dyDescent="0.25">
      <c r="A87" s="588" t="s">
        <v>1814</v>
      </c>
      <c r="B87" s="496" t="s">
        <v>61</v>
      </c>
      <c r="C87" s="497">
        <v>42825</v>
      </c>
      <c r="D87" s="498">
        <v>42955</v>
      </c>
      <c r="E87" s="499">
        <v>129</v>
      </c>
      <c r="F87" s="498">
        <v>42951</v>
      </c>
      <c r="G87" s="499">
        <v>2</v>
      </c>
      <c r="H87" s="554">
        <v>3386</v>
      </c>
      <c r="I87" s="554">
        <v>5000</v>
      </c>
      <c r="J87" s="554">
        <v>1354</v>
      </c>
      <c r="K87" s="496"/>
      <c r="L87" s="496"/>
      <c r="M87" s="496"/>
      <c r="N87" s="496">
        <v>1</v>
      </c>
      <c r="O87" s="496"/>
      <c r="P87" s="496">
        <v>1</v>
      </c>
      <c r="Q87" s="496"/>
      <c r="R87" s="496"/>
      <c r="S87" s="496"/>
      <c r="T87" s="496"/>
      <c r="U87" s="496"/>
      <c r="V87" s="496"/>
      <c r="W87" s="496"/>
      <c r="X87" s="496"/>
      <c r="Y87" s="496"/>
      <c r="Z87" s="496">
        <f>SUM(K87:Y87)</f>
        <v>2</v>
      </c>
    </row>
    <row r="88" spans="1:26" ht="30" x14ac:dyDescent="0.25">
      <c r="A88" s="588" t="s">
        <v>1817</v>
      </c>
      <c r="B88" s="496" t="s">
        <v>115</v>
      </c>
      <c r="C88" s="497">
        <v>42865</v>
      </c>
      <c r="D88" s="498">
        <v>42957</v>
      </c>
      <c r="E88" s="499">
        <v>90</v>
      </c>
      <c r="F88" s="498">
        <v>42957</v>
      </c>
      <c r="G88" s="499">
        <v>7</v>
      </c>
      <c r="H88" s="554">
        <v>11851</v>
      </c>
      <c r="I88" s="554">
        <v>5000</v>
      </c>
      <c r="J88" s="554">
        <v>4739</v>
      </c>
      <c r="K88" s="496">
        <v>1</v>
      </c>
      <c r="L88" s="496">
        <v>1</v>
      </c>
      <c r="M88" s="496"/>
      <c r="N88" s="496">
        <v>1</v>
      </c>
      <c r="O88" s="496"/>
      <c r="P88" s="496">
        <v>1</v>
      </c>
      <c r="Q88" s="496">
        <v>1</v>
      </c>
      <c r="R88" s="496">
        <v>1</v>
      </c>
      <c r="S88" s="496">
        <v>1</v>
      </c>
      <c r="T88" s="496"/>
      <c r="U88" s="496"/>
      <c r="V88" s="496"/>
      <c r="W88" s="496"/>
      <c r="X88" s="496"/>
      <c r="Y88" s="496"/>
      <c r="Z88" s="496">
        <f t="shared" ref="Z88:Z94" si="6">SUM(K88:Y88)</f>
        <v>7</v>
      </c>
    </row>
    <row r="89" spans="1:26" ht="15" customHeight="1" x14ac:dyDescent="0.25">
      <c r="A89" s="578" t="s">
        <v>1821</v>
      </c>
      <c r="B89" s="535" t="s">
        <v>61</v>
      </c>
      <c r="C89" s="487">
        <v>42951</v>
      </c>
      <c r="D89" s="488">
        <v>42965</v>
      </c>
      <c r="E89" s="486">
        <v>14</v>
      </c>
      <c r="F89" s="488">
        <v>42965</v>
      </c>
      <c r="G89" s="486">
        <v>1</v>
      </c>
      <c r="H89" s="539">
        <v>1693</v>
      </c>
      <c r="I89" s="539">
        <v>2500</v>
      </c>
      <c r="J89" s="539">
        <v>677</v>
      </c>
      <c r="K89" s="535"/>
      <c r="L89" s="535"/>
      <c r="M89" s="535"/>
      <c r="N89" s="535"/>
      <c r="O89" s="535"/>
      <c r="P89" s="535">
        <v>1</v>
      </c>
      <c r="Q89" s="535"/>
      <c r="R89" s="535"/>
      <c r="S89" s="535"/>
      <c r="T89" s="535"/>
      <c r="U89" s="535"/>
      <c r="V89" s="535"/>
      <c r="W89" s="535"/>
      <c r="X89" s="535"/>
      <c r="Y89" s="535"/>
      <c r="Z89" s="496">
        <f t="shared" si="6"/>
        <v>1</v>
      </c>
    </row>
    <row r="90" spans="1:26" ht="30.75" customHeight="1" x14ac:dyDescent="0.25">
      <c r="A90" s="578" t="s">
        <v>1822</v>
      </c>
      <c r="B90" s="535" t="s">
        <v>115</v>
      </c>
      <c r="C90" s="487">
        <v>42934</v>
      </c>
      <c r="D90" s="488">
        <v>42968</v>
      </c>
      <c r="E90" s="486">
        <v>33</v>
      </c>
      <c r="F90" s="488">
        <v>42968</v>
      </c>
      <c r="G90" s="486">
        <v>1</v>
      </c>
      <c r="H90" s="539">
        <v>1693</v>
      </c>
      <c r="I90" s="539">
        <v>5000</v>
      </c>
      <c r="J90" s="539">
        <v>677</v>
      </c>
      <c r="K90" s="535"/>
      <c r="L90" s="535"/>
      <c r="M90" s="535"/>
      <c r="N90" s="535"/>
      <c r="O90" s="535"/>
      <c r="P90" s="535">
        <v>1</v>
      </c>
      <c r="Q90" s="535"/>
      <c r="R90" s="535"/>
      <c r="S90" s="535"/>
      <c r="T90" s="535"/>
      <c r="U90" s="535"/>
      <c r="V90" s="535"/>
      <c r="W90" s="535"/>
      <c r="X90" s="535"/>
      <c r="Y90" s="535"/>
      <c r="Z90" s="496">
        <f t="shared" si="6"/>
        <v>1</v>
      </c>
    </row>
    <row r="91" spans="1:26" ht="15" customHeight="1" x14ac:dyDescent="0.25">
      <c r="A91" s="538"/>
      <c r="B91" s="535"/>
      <c r="C91" s="487"/>
      <c r="D91" s="488"/>
      <c r="E91" s="486"/>
      <c r="F91" s="488"/>
      <c r="G91" s="486"/>
      <c r="H91" s="539"/>
      <c r="I91" s="539"/>
      <c r="J91" s="539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496">
        <f t="shared" si="6"/>
        <v>0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496">
        <f t="shared" si="6"/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456"/>
      <c r="J93" s="456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6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6"/>
        <v>0</v>
      </c>
    </row>
    <row r="95" spans="1:26" ht="15" customHeight="1" x14ac:dyDescent="0.25">
      <c r="A95" s="443" t="s">
        <v>1226</v>
      </c>
      <c r="B95" s="444"/>
      <c r="C95" s="445"/>
      <c r="D95" s="446"/>
      <c r="E95" s="447"/>
      <c r="F95" s="446"/>
      <c r="G95" s="447">
        <f>SUM(G93:G94)</f>
        <v>0</v>
      </c>
      <c r="H95" s="448">
        <f>SUM(H87:H94)</f>
        <v>18623</v>
      </c>
      <c r="I95" s="448">
        <f t="shared" ref="I95:J95" si="7">SUM(I87:I94)</f>
        <v>17500</v>
      </c>
      <c r="J95" s="448">
        <f t="shared" si="7"/>
        <v>7447</v>
      </c>
      <c r="K95" s="447">
        <f>SUM(K87:K94)</f>
        <v>1</v>
      </c>
      <c r="L95" s="447">
        <f t="shared" ref="L95:Z95" si="8">SUM(L87:L94)</f>
        <v>1</v>
      </c>
      <c r="M95" s="447">
        <f t="shared" si="8"/>
        <v>0</v>
      </c>
      <c r="N95" s="447">
        <f t="shared" si="8"/>
        <v>2</v>
      </c>
      <c r="O95" s="447">
        <f t="shared" si="8"/>
        <v>0</v>
      </c>
      <c r="P95" s="447">
        <f t="shared" si="8"/>
        <v>4</v>
      </c>
      <c r="Q95" s="447">
        <f t="shared" si="8"/>
        <v>1</v>
      </c>
      <c r="R95" s="447">
        <f t="shared" si="8"/>
        <v>1</v>
      </c>
      <c r="S95" s="447">
        <f t="shared" si="8"/>
        <v>1</v>
      </c>
      <c r="T95" s="447">
        <f t="shared" si="8"/>
        <v>0</v>
      </c>
      <c r="U95" s="447">
        <f t="shared" si="8"/>
        <v>0</v>
      </c>
      <c r="V95" s="447">
        <f t="shared" si="8"/>
        <v>0</v>
      </c>
      <c r="W95" s="447">
        <f t="shared" si="8"/>
        <v>0</v>
      </c>
      <c r="X95" s="447">
        <f t="shared" si="8"/>
        <v>0</v>
      </c>
      <c r="Y95" s="447">
        <f t="shared" si="8"/>
        <v>0</v>
      </c>
      <c r="Z95" s="447">
        <f t="shared" si="8"/>
        <v>11</v>
      </c>
    </row>
    <row r="96" spans="1:26" ht="15" customHeight="1" x14ac:dyDescent="0.25">
      <c r="A96" s="428"/>
      <c r="B96" s="422"/>
      <c r="C96" s="422"/>
      <c r="D96" s="429"/>
      <c r="E96" s="422"/>
      <c r="F96" s="429"/>
      <c r="G96" s="433"/>
      <c r="H96" s="422"/>
      <c r="I96" s="422"/>
      <c r="J96" s="422"/>
    </row>
    <row r="97" spans="1:26" x14ac:dyDescent="0.25">
      <c r="A97" s="739" t="s">
        <v>1228</v>
      </c>
      <c r="B97" s="739"/>
      <c r="G97" s="420"/>
    </row>
    <row r="98" spans="1:26" ht="30" x14ac:dyDescent="0.25">
      <c r="A98" s="570" t="s">
        <v>1</v>
      </c>
      <c r="B98" s="570" t="s">
        <v>59</v>
      </c>
      <c r="C98" s="425" t="s">
        <v>1222</v>
      </c>
      <c r="D98" s="425" t="s">
        <v>1223</v>
      </c>
      <c r="E98" s="425" t="s">
        <v>392</v>
      </c>
      <c r="F98" s="426" t="s">
        <v>2</v>
      </c>
      <c r="G98" s="432" t="s">
        <v>1225</v>
      </c>
      <c r="H98" s="427" t="s">
        <v>1224</v>
      </c>
      <c r="I98" s="427" t="s">
        <v>1498</v>
      </c>
      <c r="J98" s="427" t="s">
        <v>94</v>
      </c>
      <c r="K98" s="424" t="s">
        <v>681</v>
      </c>
      <c r="L98" s="424" t="s">
        <v>1496</v>
      </c>
      <c r="M98" s="424" t="s">
        <v>1497</v>
      </c>
      <c r="N98" s="424" t="s">
        <v>682</v>
      </c>
      <c r="O98" s="424" t="s">
        <v>683</v>
      </c>
      <c r="P98" s="424" t="s">
        <v>87</v>
      </c>
      <c r="Q98" s="424" t="s">
        <v>684</v>
      </c>
      <c r="R98" s="424" t="s">
        <v>685</v>
      </c>
      <c r="S98" s="424" t="s">
        <v>690</v>
      </c>
      <c r="T98" s="424" t="s">
        <v>686</v>
      </c>
      <c r="U98" s="424" t="s">
        <v>687</v>
      </c>
      <c r="V98" s="424" t="s">
        <v>688</v>
      </c>
      <c r="W98" s="424" t="s">
        <v>689</v>
      </c>
      <c r="X98" s="424" t="s">
        <v>138</v>
      </c>
      <c r="Y98" s="424" t="s">
        <v>1385</v>
      </c>
      <c r="Z98" s="424" t="s">
        <v>1238</v>
      </c>
    </row>
    <row r="99" spans="1:26" ht="15" customHeight="1" x14ac:dyDescent="0.25">
      <c r="A99" s="578" t="s">
        <v>1768</v>
      </c>
      <c r="B99" s="535" t="s">
        <v>61</v>
      </c>
      <c r="C99" s="487">
        <v>42844</v>
      </c>
      <c r="D99" s="488">
        <v>42881</v>
      </c>
      <c r="E99" s="486">
        <v>37</v>
      </c>
      <c r="F99" s="488">
        <v>42948</v>
      </c>
      <c r="G99" s="486">
        <v>2</v>
      </c>
      <c r="H99" s="539">
        <f>2003+2003</f>
        <v>4006</v>
      </c>
      <c r="I99" s="539">
        <v>0</v>
      </c>
      <c r="J99" s="539">
        <v>1602</v>
      </c>
      <c r="K99" s="535"/>
      <c r="L99" s="535"/>
      <c r="M99" s="535"/>
      <c r="N99" s="535"/>
      <c r="O99" s="535">
        <v>1</v>
      </c>
      <c r="P99" s="535"/>
      <c r="Q99" s="535">
        <v>1</v>
      </c>
      <c r="R99" s="535"/>
      <c r="S99" s="535"/>
      <c r="T99" s="535"/>
      <c r="U99" s="535"/>
      <c r="V99" s="535"/>
      <c r="W99" s="535"/>
      <c r="X99" s="535"/>
      <c r="Y99" s="535"/>
      <c r="Z99" s="535">
        <f>SUM(K99:Y99)</f>
        <v>2</v>
      </c>
    </row>
    <row r="100" spans="1:26" s="457" customFormat="1" ht="15" customHeight="1" x14ac:dyDescent="0.25">
      <c r="A100" s="543" t="s">
        <v>1825</v>
      </c>
      <c r="B100" s="535" t="s">
        <v>115</v>
      </c>
      <c r="C100" s="487" t="s">
        <v>1826</v>
      </c>
      <c r="D100" s="488">
        <v>42975</v>
      </c>
      <c r="E100" s="486">
        <v>0</v>
      </c>
      <c r="F100" s="488">
        <v>42900</v>
      </c>
      <c r="G100" s="486">
        <v>0</v>
      </c>
      <c r="H100" s="539">
        <v>2200</v>
      </c>
      <c r="I100" s="539">
        <v>2800</v>
      </c>
      <c r="J100" s="539">
        <v>0</v>
      </c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452"/>
      <c r="Z100" s="535">
        <f t="shared" ref="Z100:Z102" si="9">SUM(K100:Y100)</f>
        <v>0</v>
      </c>
    </row>
    <row r="101" spans="1:26" s="457" customFormat="1" ht="15" customHeight="1" x14ac:dyDescent="0.25">
      <c r="A101" s="578" t="s">
        <v>272</v>
      </c>
      <c r="B101" s="535" t="s">
        <v>61</v>
      </c>
      <c r="C101" s="487">
        <v>42907</v>
      </c>
      <c r="D101" s="488">
        <v>42977</v>
      </c>
      <c r="E101" s="486">
        <v>69</v>
      </c>
      <c r="F101" s="488">
        <v>42977</v>
      </c>
      <c r="G101" s="486">
        <v>1</v>
      </c>
      <c r="H101" s="539">
        <v>1490</v>
      </c>
      <c r="I101" s="539">
        <v>0</v>
      </c>
      <c r="J101" s="539">
        <v>596</v>
      </c>
      <c r="K101" s="535"/>
      <c r="L101" s="535"/>
      <c r="M101" s="535"/>
      <c r="N101" s="535"/>
      <c r="O101" s="535"/>
      <c r="P101" s="535">
        <v>1</v>
      </c>
      <c r="Q101" s="535"/>
      <c r="R101" s="535"/>
      <c r="S101" s="535"/>
      <c r="T101" s="535"/>
      <c r="U101" s="535"/>
      <c r="V101" s="535"/>
      <c r="W101" s="535"/>
      <c r="X101" s="535"/>
      <c r="Y101" s="452"/>
      <c r="Z101" s="535">
        <f t="shared" si="9"/>
        <v>1</v>
      </c>
    </row>
    <row r="102" spans="1:26" s="457" customFormat="1" ht="15" customHeight="1" x14ac:dyDescent="0.25">
      <c r="A102" s="538"/>
      <c r="B102" s="535"/>
      <c r="C102" s="487"/>
      <c r="D102" s="488"/>
      <c r="E102" s="486"/>
      <c r="F102" s="488"/>
      <c r="G102" s="486"/>
      <c r="H102" s="539"/>
      <c r="I102" s="539"/>
      <c r="J102" s="539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452"/>
      <c r="Z102" s="535">
        <f t="shared" si="9"/>
        <v>0</v>
      </c>
    </row>
    <row r="103" spans="1:26" s="457" customFormat="1" ht="15" customHeight="1" x14ac:dyDescent="0.25">
      <c r="A103" s="538"/>
      <c r="B103" s="535"/>
      <c r="C103" s="487"/>
      <c r="D103" s="488"/>
      <c r="E103" s="486"/>
      <c r="F103" s="488"/>
      <c r="G103" s="486"/>
      <c r="H103" s="539"/>
      <c r="I103" s="539"/>
      <c r="J103" s="539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452"/>
      <c r="Z103" s="535"/>
    </row>
    <row r="104" spans="1:26" s="457" customFormat="1" ht="15" customHeight="1" x14ac:dyDescent="0.25">
      <c r="A104" s="538"/>
      <c r="B104" s="535"/>
      <c r="C104" s="487"/>
      <c r="D104" s="488"/>
      <c r="E104" s="486"/>
      <c r="F104" s="488"/>
      <c r="G104" s="486"/>
      <c r="H104" s="539"/>
      <c r="I104" s="539"/>
      <c r="J104" s="539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452"/>
      <c r="Z104" s="535"/>
    </row>
    <row r="105" spans="1:26" s="457" customFormat="1" ht="15" customHeight="1" x14ac:dyDescent="0.25">
      <c r="A105" s="541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/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/>
    </row>
    <row r="107" spans="1:26" ht="15" customHeight="1" x14ac:dyDescent="0.25">
      <c r="A107" s="443" t="s">
        <v>450</v>
      </c>
      <c r="B107" s="444"/>
      <c r="C107" s="445"/>
      <c r="D107" s="446"/>
      <c r="E107" s="447"/>
      <c r="F107" s="446"/>
      <c r="G107" s="447">
        <f t="shared" ref="G107:Z107" si="10">SUM(G99:G106)</f>
        <v>3</v>
      </c>
      <c r="H107" s="448">
        <f t="shared" si="10"/>
        <v>7696</v>
      </c>
      <c r="I107" s="448">
        <f>SUM(I99:I106)</f>
        <v>2800</v>
      </c>
      <c r="J107" s="448">
        <f>SUM(J99:J106)</f>
        <v>2198</v>
      </c>
      <c r="K107" s="447">
        <f t="shared" si="10"/>
        <v>0</v>
      </c>
      <c r="L107" s="447">
        <f t="shared" si="10"/>
        <v>0</v>
      </c>
      <c r="M107" s="447">
        <f t="shared" si="10"/>
        <v>0</v>
      </c>
      <c r="N107" s="447">
        <f t="shared" si="10"/>
        <v>0</v>
      </c>
      <c r="O107" s="447">
        <f t="shared" si="10"/>
        <v>1</v>
      </c>
      <c r="P107" s="447">
        <f t="shared" si="10"/>
        <v>1</v>
      </c>
      <c r="Q107" s="447">
        <f t="shared" si="10"/>
        <v>1</v>
      </c>
      <c r="R107" s="447">
        <f t="shared" si="10"/>
        <v>0</v>
      </c>
      <c r="S107" s="447">
        <f t="shared" si="10"/>
        <v>0</v>
      </c>
      <c r="T107" s="447">
        <f t="shared" si="10"/>
        <v>0</v>
      </c>
      <c r="U107" s="447">
        <f t="shared" si="10"/>
        <v>0</v>
      </c>
      <c r="V107" s="447">
        <f t="shared" si="10"/>
        <v>0</v>
      </c>
      <c r="W107" s="447">
        <f t="shared" si="10"/>
        <v>0</v>
      </c>
      <c r="X107" s="447"/>
      <c r="Y107" s="447"/>
      <c r="Z107" s="447">
        <f t="shared" si="10"/>
        <v>3</v>
      </c>
    </row>
    <row r="109" spans="1:26" x14ac:dyDescent="0.25">
      <c r="A109" s="739" t="s">
        <v>1229</v>
      </c>
      <c r="B109" s="739"/>
    </row>
    <row r="110" spans="1:26" ht="30" x14ac:dyDescent="0.25">
      <c r="A110" s="570" t="s">
        <v>1</v>
      </c>
      <c r="B110" s="570" t="s">
        <v>59</v>
      </c>
      <c r="C110" s="425"/>
      <c r="D110" s="425"/>
      <c r="E110" s="425"/>
      <c r="F110" s="426"/>
      <c r="G110" s="432" t="s">
        <v>1225</v>
      </c>
      <c r="H110" s="427" t="s">
        <v>1224</v>
      </c>
      <c r="I110" s="427" t="s">
        <v>1498</v>
      </c>
      <c r="J110" s="427" t="s">
        <v>94</v>
      </c>
      <c r="K110" s="424" t="s">
        <v>681</v>
      </c>
      <c r="L110" s="424" t="s">
        <v>1496</v>
      </c>
      <c r="M110" s="424" t="s">
        <v>1497</v>
      </c>
      <c r="N110" s="424" t="s">
        <v>682</v>
      </c>
      <c r="O110" s="424" t="s">
        <v>683</v>
      </c>
      <c r="P110" s="424" t="s">
        <v>87</v>
      </c>
      <c r="Q110" s="424" t="s">
        <v>684</v>
      </c>
      <c r="R110" s="424" t="s">
        <v>685</v>
      </c>
      <c r="S110" s="424" t="s">
        <v>690</v>
      </c>
      <c r="T110" s="424" t="s">
        <v>686</v>
      </c>
      <c r="U110" s="424" t="s">
        <v>687</v>
      </c>
      <c r="V110" s="424" t="s">
        <v>688</v>
      </c>
      <c r="W110" s="424" t="s">
        <v>689</v>
      </c>
      <c r="X110" s="424" t="s">
        <v>138</v>
      </c>
      <c r="Y110" s="424" t="s">
        <v>1385</v>
      </c>
      <c r="Z110" s="424" t="s">
        <v>1238</v>
      </c>
    </row>
    <row r="111" spans="1:26" s="457" customFormat="1" ht="15" customHeight="1" x14ac:dyDescent="0.25">
      <c r="A111" s="588" t="s">
        <v>1803</v>
      </c>
      <c r="B111" s="535" t="s">
        <v>115</v>
      </c>
      <c r="C111" s="487">
        <v>42893</v>
      </c>
      <c r="D111" s="488">
        <v>42949</v>
      </c>
      <c r="E111" s="486">
        <v>55</v>
      </c>
      <c r="F111" s="488">
        <v>42949</v>
      </c>
      <c r="G111" s="486">
        <v>1</v>
      </c>
      <c r="H111" s="539">
        <v>-890</v>
      </c>
      <c r="I111" s="539">
        <v>0</v>
      </c>
      <c r="J111" s="539">
        <v>-356</v>
      </c>
      <c r="K111" s="535"/>
      <c r="L111" s="535"/>
      <c r="M111" s="535"/>
      <c r="N111" s="535"/>
      <c r="O111" s="535"/>
      <c r="P111" s="535"/>
      <c r="Q111" s="535"/>
      <c r="R111" s="535">
        <v>-1</v>
      </c>
      <c r="S111" s="535"/>
      <c r="T111" s="535"/>
      <c r="U111" s="535"/>
      <c r="V111" s="535"/>
      <c r="W111" s="535"/>
      <c r="X111" s="535"/>
      <c r="Y111" s="535"/>
      <c r="Z111" s="535">
        <f t="shared" ref="Z111:Z119" si="11">SUM(K111:Y111)</f>
        <v>-1</v>
      </c>
    </row>
    <row r="112" spans="1:26" ht="15" customHeight="1" x14ac:dyDescent="0.25">
      <c r="A112" s="588" t="s">
        <v>1804</v>
      </c>
      <c r="B112" s="535" t="s">
        <v>115</v>
      </c>
      <c r="C112" s="487">
        <v>42893</v>
      </c>
      <c r="D112" s="488">
        <v>42949</v>
      </c>
      <c r="E112" s="486">
        <v>55</v>
      </c>
      <c r="F112" s="488">
        <v>42949</v>
      </c>
      <c r="G112" s="486">
        <v>1</v>
      </c>
      <c r="H112" s="539">
        <v>-890</v>
      </c>
      <c r="I112" s="539">
        <v>0</v>
      </c>
      <c r="J112" s="539">
        <v>-356</v>
      </c>
      <c r="K112" s="535"/>
      <c r="L112" s="535"/>
      <c r="M112" s="535"/>
      <c r="N112" s="535"/>
      <c r="O112" s="535"/>
      <c r="P112" s="535"/>
      <c r="Q112" s="535"/>
      <c r="R112" s="535">
        <v>-1</v>
      </c>
      <c r="S112" s="535"/>
      <c r="T112" s="535"/>
      <c r="U112" s="535"/>
      <c r="V112" s="535"/>
      <c r="W112" s="535"/>
      <c r="X112" s="535"/>
      <c r="Y112" s="535"/>
      <c r="Z112" s="535">
        <f t="shared" si="11"/>
        <v>-1</v>
      </c>
    </row>
    <row r="113" spans="1:26" ht="15" customHeight="1" x14ac:dyDescent="0.25">
      <c r="A113" s="588" t="s">
        <v>1820</v>
      </c>
      <c r="B113" s="535" t="s">
        <v>115</v>
      </c>
      <c r="C113" s="487">
        <v>42935</v>
      </c>
      <c r="D113" s="488">
        <v>42961</v>
      </c>
      <c r="E113" s="486">
        <v>25</v>
      </c>
      <c r="F113" s="488">
        <v>42899</v>
      </c>
      <c r="G113" s="486">
        <v>6</v>
      </c>
      <c r="H113" s="539">
        <v>-9858</v>
      </c>
      <c r="I113" s="539">
        <v>0</v>
      </c>
      <c r="J113" s="539">
        <v>-3942</v>
      </c>
      <c r="K113" s="535"/>
      <c r="L113" s="535">
        <v>-1</v>
      </c>
      <c r="M113" s="535">
        <v>-1</v>
      </c>
      <c r="N113" s="535">
        <v>-1</v>
      </c>
      <c r="O113" s="535">
        <v>-1</v>
      </c>
      <c r="P113" s="535"/>
      <c r="Q113" s="535">
        <v>-1</v>
      </c>
      <c r="R113" s="535">
        <v>-1</v>
      </c>
      <c r="S113" s="535"/>
      <c r="T113" s="535"/>
      <c r="U113" s="535"/>
      <c r="V113" s="535"/>
      <c r="W113" s="535"/>
      <c r="X113" s="535"/>
      <c r="Y113" s="535"/>
      <c r="Z113" s="535">
        <f t="shared" si="11"/>
        <v>-6</v>
      </c>
    </row>
    <row r="114" spans="1:26" s="457" customFormat="1" ht="15" customHeight="1" x14ac:dyDescent="0.25">
      <c r="A114" s="576" t="s">
        <v>1824</v>
      </c>
      <c r="B114" s="535" t="s">
        <v>61</v>
      </c>
      <c r="C114" s="487">
        <v>42961</v>
      </c>
      <c r="D114" s="488">
        <v>42971</v>
      </c>
      <c r="E114" s="486">
        <v>10</v>
      </c>
      <c r="F114" s="488">
        <v>42971</v>
      </c>
      <c r="G114" s="486">
        <v>0</v>
      </c>
      <c r="H114" s="542">
        <v>-2200</v>
      </c>
      <c r="I114" s="539">
        <v>0</v>
      </c>
      <c r="J114" s="539">
        <v>0</v>
      </c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1"/>
        <v>0</v>
      </c>
    </row>
    <row r="115" spans="1:26" ht="15" customHeight="1" x14ac:dyDescent="0.25">
      <c r="A115" s="576" t="s">
        <v>1607</v>
      </c>
      <c r="B115" s="535" t="s">
        <v>115</v>
      </c>
      <c r="C115" s="487">
        <v>42970</v>
      </c>
      <c r="D115" s="488">
        <v>42976</v>
      </c>
      <c r="E115" s="486">
        <v>1</v>
      </c>
      <c r="F115" s="488">
        <v>42976</v>
      </c>
      <c r="G115" s="486">
        <v>1</v>
      </c>
      <c r="H115" s="542">
        <v>-1693</v>
      </c>
      <c r="I115" s="539">
        <v>0</v>
      </c>
      <c r="J115" s="539">
        <v>-677</v>
      </c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>
        <v>-1</v>
      </c>
      <c r="W115" s="535"/>
      <c r="X115" s="535"/>
      <c r="Y115" s="535"/>
      <c r="Z115" s="535">
        <f t="shared" si="11"/>
        <v>-1</v>
      </c>
    </row>
    <row r="116" spans="1:26" ht="15" customHeight="1" x14ac:dyDescent="0.25">
      <c r="A116" s="531"/>
      <c r="B116" s="535"/>
      <c r="C116" s="487"/>
      <c r="D116" s="488"/>
      <c r="E116" s="486"/>
      <c r="F116" s="488"/>
      <c r="G116" s="486"/>
      <c r="H116" s="542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1"/>
        <v>0</v>
      </c>
    </row>
    <row r="117" spans="1:26" s="457" customFormat="1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1"/>
        <v>0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1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1"/>
        <v>0</v>
      </c>
    </row>
    <row r="120" spans="1:26" ht="15" customHeight="1" x14ac:dyDescent="0.25">
      <c r="A120" s="443" t="s">
        <v>1230</v>
      </c>
      <c r="B120" s="444"/>
      <c r="C120" s="445"/>
      <c r="D120" s="446"/>
      <c r="E120" s="447"/>
      <c r="F120" s="446"/>
      <c r="G120" s="447">
        <f>SUM(G111:G119)</f>
        <v>9</v>
      </c>
      <c r="H120" s="448">
        <f>SUM(H111:H119)</f>
        <v>-15531</v>
      </c>
      <c r="I120" s="448">
        <f t="shared" ref="I120:J120" si="12">SUM(I111:I119)</f>
        <v>0</v>
      </c>
      <c r="J120" s="448">
        <f t="shared" si="12"/>
        <v>-5331</v>
      </c>
      <c r="K120" s="447">
        <f>SUM(K111:K119)</f>
        <v>0</v>
      </c>
      <c r="L120" s="447">
        <f t="shared" ref="L120:Z120" si="13">SUM(L111:L119)</f>
        <v>-1</v>
      </c>
      <c r="M120" s="447">
        <f t="shared" si="13"/>
        <v>-1</v>
      </c>
      <c r="N120" s="447">
        <f t="shared" si="13"/>
        <v>-1</v>
      </c>
      <c r="O120" s="447">
        <f t="shared" si="13"/>
        <v>-1</v>
      </c>
      <c r="P120" s="447">
        <f t="shared" si="13"/>
        <v>0</v>
      </c>
      <c r="Q120" s="447">
        <f t="shared" si="13"/>
        <v>-1</v>
      </c>
      <c r="R120" s="447">
        <f t="shared" si="13"/>
        <v>-3</v>
      </c>
      <c r="S120" s="447">
        <f t="shared" si="13"/>
        <v>0</v>
      </c>
      <c r="T120" s="447">
        <f t="shared" si="13"/>
        <v>0</v>
      </c>
      <c r="U120" s="447">
        <f t="shared" si="13"/>
        <v>0</v>
      </c>
      <c r="V120" s="447">
        <f t="shared" si="13"/>
        <v>-1</v>
      </c>
      <c r="W120" s="447">
        <f t="shared" si="13"/>
        <v>0</v>
      </c>
      <c r="X120" s="447">
        <f t="shared" si="13"/>
        <v>0</v>
      </c>
      <c r="Y120" s="447">
        <f t="shared" si="13"/>
        <v>0</v>
      </c>
      <c r="Z120" s="447">
        <f t="shared" si="13"/>
        <v>-9</v>
      </c>
    </row>
    <row r="122" spans="1:26" x14ac:dyDescent="0.25">
      <c r="A122" s="739" t="s">
        <v>1231</v>
      </c>
      <c r="B122" s="739"/>
    </row>
    <row r="123" spans="1:26" ht="30" x14ac:dyDescent="0.25">
      <c r="A123" s="570" t="s">
        <v>1</v>
      </c>
      <c r="B123" s="570" t="s">
        <v>59</v>
      </c>
      <c r="C123" s="425"/>
      <c r="D123" s="425"/>
      <c r="E123" s="425"/>
      <c r="F123" s="426"/>
      <c r="G123" s="432" t="s">
        <v>1225</v>
      </c>
      <c r="H123" s="427" t="s">
        <v>1224</v>
      </c>
      <c r="I123" s="427" t="s">
        <v>1498</v>
      </c>
      <c r="J123" s="427" t="s">
        <v>94</v>
      </c>
      <c r="K123" s="424" t="s">
        <v>681</v>
      </c>
      <c r="L123" s="424" t="s">
        <v>1496</v>
      </c>
      <c r="M123" s="424" t="s">
        <v>1497</v>
      </c>
      <c r="N123" s="424" t="s">
        <v>682</v>
      </c>
      <c r="O123" s="424" t="s">
        <v>683</v>
      </c>
      <c r="P123" s="424" t="s">
        <v>87</v>
      </c>
      <c r="Q123" s="424" t="s">
        <v>684</v>
      </c>
      <c r="R123" s="424" t="s">
        <v>685</v>
      </c>
      <c r="S123" s="424" t="s">
        <v>690</v>
      </c>
      <c r="T123" s="424" t="s">
        <v>686</v>
      </c>
      <c r="U123" s="424" t="s">
        <v>687</v>
      </c>
      <c r="V123" s="424" t="s">
        <v>688</v>
      </c>
      <c r="W123" s="424" t="s">
        <v>689</v>
      </c>
      <c r="X123" s="424" t="s">
        <v>138</v>
      </c>
      <c r="Y123" s="424" t="s">
        <v>1385</v>
      </c>
      <c r="Z123" s="424" t="s">
        <v>1238</v>
      </c>
    </row>
    <row r="124" spans="1:26" ht="15" customHeight="1" x14ac:dyDescent="0.25">
      <c r="A124" s="588" t="s">
        <v>40</v>
      </c>
      <c r="B124" s="535" t="s">
        <v>115</v>
      </c>
      <c r="C124" s="487"/>
      <c r="D124" s="488"/>
      <c r="E124" s="486"/>
      <c r="F124" s="488"/>
      <c r="G124" s="486">
        <v>-7</v>
      </c>
      <c r="H124" s="539">
        <v>-10459</v>
      </c>
      <c r="I124" s="539" t="s">
        <v>561</v>
      </c>
      <c r="J124" s="539">
        <v>-4000</v>
      </c>
      <c r="K124" s="535">
        <v>-1</v>
      </c>
      <c r="L124" s="535">
        <v>-1</v>
      </c>
      <c r="M124" s="535">
        <v>-1</v>
      </c>
      <c r="N124" s="535">
        <v>-1</v>
      </c>
      <c r="O124" s="535">
        <v>-1</v>
      </c>
      <c r="P124" s="535"/>
      <c r="Q124" s="535">
        <v>-1</v>
      </c>
      <c r="R124" s="535"/>
      <c r="S124" s="535">
        <v>-1</v>
      </c>
      <c r="T124" s="535"/>
      <c r="U124" s="535"/>
      <c r="V124" s="535"/>
      <c r="W124" s="535"/>
      <c r="X124" s="535"/>
      <c r="Y124" s="535"/>
      <c r="Z124" s="535">
        <f t="shared" ref="Z124:Z126" si="14">SUM(K124:Y124)</f>
        <v>-7</v>
      </c>
    </row>
    <row r="125" spans="1:26" ht="15" customHeight="1" x14ac:dyDescent="0.25">
      <c r="A125" s="588" t="s">
        <v>208</v>
      </c>
      <c r="B125" s="535" t="s">
        <v>115</v>
      </c>
      <c r="C125" s="487"/>
      <c r="D125" s="488"/>
      <c r="E125" s="486"/>
      <c r="F125" s="488"/>
      <c r="G125" s="486">
        <v>-8</v>
      </c>
      <c r="H125" s="539">
        <v>-13144</v>
      </c>
      <c r="I125" s="539"/>
      <c r="J125" s="539">
        <v>-5258</v>
      </c>
      <c r="K125" s="535">
        <v>-1</v>
      </c>
      <c r="L125" s="535"/>
      <c r="M125" s="535">
        <v>-1</v>
      </c>
      <c r="N125" s="535">
        <v>-1</v>
      </c>
      <c r="O125" s="535">
        <v>-1</v>
      </c>
      <c r="P125" s="535">
        <v>-1</v>
      </c>
      <c r="Q125" s="535">
        <v>-1</v>
      </c>
      <c r="R125" s="535">
        <v>-1</v>
      </c>
      <c r="S125" s="535">
        <v>-1</v>
      </c>
      <c r="T125" s="535"/>
      <c r="U125" s="535"/>
      <c r="V125" s="535"/>
      <c r="W125" s="535"/>
      <c r="X125" s="535"/>
      <c r="Y125" s="535"/>
      <c r="Z125" s="535">
        <f t="shared" si="14"/>
        <v>-8</v>
      </c>
    </row>
    <row r="126" spans="1:26" ht="15" customHeight="1" x14ac:dyDescent="0.25">
      <c r="A126" s="538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4"/>
        <v>0</v>
      </c>
    </row>
    <row r="127" spans="1:26" ht="15" customHeight="1" x14ac:dyDescent="0.25">
      <c r="A127" s="443" t="s">
        <v>1230</v>
      </c>
      <c r="B127" s="444"/>
      <c r="C127" s="445"/>
      <c r="D127" s="446"/>
      <c r="E127" s="447"/>
      <c r="F127" s="446"/>
      <c r="G127" s="447">
        <f>SUM(G124:G126)</f>
        <v>-15</v>
      </c>
      <c r="H127" s="448">
        <f>SUM(H124:H126)</f>
        <v>-23603</v>
      </c>
      <c r="I127" s="448">
        <f t="shared" ref="I127:Z127" si="15">SUM(I124:I126)</f>
        <v>0</v>
      </c>
      <c r="J127" s="448">
        <f t="shared" si="15"/>
        <v>-9258</v>
      </c>
      <c r="K127" s="447">
        <f t="shared" si="15"/>
        <v>-2</v>
      </c>
      <c r="L127" s="447">
        <f t="shared" si="15"/>
        <v>-1</v>
      </c>
      <c r="M127" s="447">
        <f t="shared" si="15"/>
        <v>-2</v>
      </c>
      <c r="N127" s="447">
        <f t="shared" si="15"/>
        <v>-2</v>
      </c>
      <c r="O127" s="447">
        <f t="shared" si="15"/>
        <v>-2</v>
      </c>
      <c r="P127" s="447">
        <f t="shared" si="15"/>
        <v>-1</v>
      </c>
      <c r="Q127" s="447">
        <f t="shared" si="15"/>
        <v>-2</v>
      </c>
      <c r="R127" s="447">
        <f t="shared" si="15"/>
        <v>-1</v>
      </c>
      <c r="S127" s="447">
        <f t="shared" si="15"/>
        <v>-2</v>
      </c>
      <c r="T127" s="447">
        <f t="shared" si="15"/>
        <v>0</v>
      </c>
      <c r="U127" s="447">
        <f t="shared" si="15"/>
        <v>0</v>
      </c>
      <c r="V127" s="447">
        <f t="shared" si="15"/>
        <v>0</v>
      </c>
      <c r="W127" s="447">
        <f t="shared" si="15"/>
        <v>0</v>
      </c>
      <c r="X127" s="447"/>
      <c r="Y127" s="447"/>
      <c r="Z127" s="447">
        <f t="shared" si="15"/>
        <v>-15</v>
      </c>
    </row>
    <row r="128" spans="1:26" ht="15.75" thickBot="1" x14ac:dyDescent="0.3"/>
    <row r="129" spans="1:26" ht="15.75" thickBot="1" x14ac:dyDescent="0.3">
      <c r="A129" s="436" t="s">
        <v>1232</v>
      </c>
      <c r="B129" s="434"/>
      <c r="C129" s="434"/>
      <c r="D129" s="434"/>
      <c r="E129" s="434"/>
      <c r="F129" s="434"/>
      <c r="G129" s="437">
        <f t="shared" ref="G129:W129" si="16">G83+G95+G107+G120+G127</f>
        <v>-3</v>
      </c>
      <c r="H129" s="438">
        <f t="shared" si="16"/>
        <v>-11441.3</v>
      </c>
      <c r="I129" s="438">
        <f t="shared" si="16"/>
        <v>20300</v>
      </c>
      <c r="J129" s="438">
        <f t="shared" si="16"/>
        <v>32413</v>
      </c>
      <c r="K129" s="450">
        <f>K83+K95+K107+K120+K127</f>
        <v>-1</v>
      </c>
      <c r="L129" s="450">
        <f t="shared" si="16"/>
        <v>-1</v>
      </c>
      <c r="M129" s="450">
        <f t="shared" si="16"/>
        <v>-3</v>
      </c>
      <c r="N129" s="450">
        <f t="shared" si="16"/>
        <v>-1</v>
      </c>
      <c r="O129" s="450">
        <f t="shared" si="16"/>
        <v>-2</v>
      </c>
      <c r="P129" s="450">
        <f t="shared" si="16"/>
        <v>4</v>
      </c>
      <c r="Q129" s="450">
        <f t="shared" si="16"/>
        <v>-1</v>
      </c>
      <c r="R129" s="450">
        <f t="shared" si="16"/>
        <v>-3</v>
      </c>
      <c r="S129" s="450">
        <f t="shared" si="16"/>
        <v>-1</v>
      </c>
      <c r="T129" s="450">
        <f t="shared" si="16"/>
        <v>0</v>
      </c>
      <c r="U129" s="450">
        <f t="shared" si="16"/>
        <v>0</v>
      </c>
      <c r="V129" s="450">
        <f t="shared" si="16"/>
        <v>-1</v>
      </c>
      <c r="W129" s="450">
        <f t="shared" si="16"/>
        <v>0</v>
      </c>
      <c r="X129" s="450"/>
      <c r="Y129" s="450"/>
      <c r="Z129" s="450">
        <f>Z83+Z95+Z107+Z120+Z127</f>
        <v>-10</v>
      </c>
    </row>
    <row r="130" spans="1:26" ht="15.75" thickBot="1" x14ac:dyDescent="0.3">
      <c r="A130" s="436" t="s">
        <v>64</v>
      </c>
      <c r="B130" s="434"/>
      <c r="C130" s="434"/>
      <c r="D130" s="434"/>
      <c r="E130" s="434"/>
      <c r="F130" s="434"/>
      <c r="G130" s="437"/>
      <c r="H130" s="438"/>
      <c r="I130" s="438"/>
      <c r="J130" s="438"/>
    </row>
    <row r="131" spans="1:26" ht="15.75" thickBot="1" x14ac:dyDescent="0.3">
      <c r="A131" s="439" t="s">
        <v>452</v>
      </c>
      <c r="B131" s="440"/>
      <c r="C131" s="440"/>
      <c r="D131" s="440"/>
      <c r="E131" s="440"/>
      <c r="F131" s="440"/>
      <c r="G131" s="441"/>
      <c r="H131" s="442">
        <f>H129-H130</f>
        <v>-11441.3</v>
      </c>
      <c r="I131" s="442"/>
      <c r="J131" s="442"/>
      <c r="O131" s="520">
        <f>Z95+Z107</f>
        <v>14</v>
      </c>
    </row>
    <row r="132" spans="1:26" x14ac:dyDescent="0.25">
      <c r="O132" s="520">
        <f>Z120+Z127</f>
        <v>-24</v>
      </c>
    </row>
    <row r="134" spans="1:26" x14ac:dyDescent="0.25">
      <c r="H134" s="435">
        <f>H83+H107+H120+H127</f>
        <v>-30064.3</v>
      </c>
      <c r="I134" s="435"/>
      <c r="J134" s="435"/>
    </row>
  </sheetData>
  <mergeCells count="8">
    <mergeCell ref="G3:H3"/>
    <mergeCell ref="A85:B85"/>
    <mergeCell ref="A97:B97"/>
    <mergeCell ref="A109:B109"/>
    <mergeCell ref="A122:B122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35"/>
  <sheetViews>
    <sheetView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592" customWidth="1"/>
    <col min="2" max="2" width="8.85546875" style="592"/>
    <col min="3" max="3" width="11.85546875" style="592" customWidth="1"/>
    <col min="4" max="4" width="17.28515625" style="592" customWidth="1"/>
    <col min="5" max="5" width="11.85546875" style="592" customWidth="1"/>
    <col min="6" max="6" width="13.85546875" style="592" customWidth="1"/>
    <col min="7" max="7" width="11.85546875" style="592" customWidth="1"/>
    <col min="8" max="8" width="13.42578125" style="592" customWidth="1"/>
    <col min="9" max="9" width="12.28515625" style="592" customWidth="1"/>
    <col min="10" max="10" width="13.42578125" style="592" customWidth="1"/>
    <col min="11" max="26" width="6.28515625" style="592" customWidth="1"/>
    <col min="27" max="16384" width="8.85546875" style="592"/>
  </cols>
  <sheetData>
    <row r="1" spans="1:26" x14ac:dyDescent="0.25">
      <c r="A1" s="591" t="s">
        <v>1359</v>
      </c>
    </row>
    <row r="3" spans="1:26" x14ac:dyDescent="0.25">
      <c r="A3" s="741" t="s">
        <v>1214</v>
      </c>
      <c r="B3" s="741"/>
      <c r="C3" s="740" t="s">
        <v>1216</v>
      </c>
      <c r="D3" s="740"/>
      <c r="E3" s="740" t="s">
        <v>1217</v>
      </c>
      <c r="F3" s="740"/>
      <c r="G3" s="740" t="s">
        <v>1218</v>
      </c>
      <c r="H3" s="740"/>
      <c r="I3" s="593"/>
      <c r="J3" s="593"/>
    </row>
    <row r="4" spans="1:26" ht="30" x14ac:dyDescent="0.25">
      <c r="A4" s="594" t="s">
        <v>1</v>
      </c>
      <c r="B4" s="594" t="s">
        <v>59</v>
      </c>
      <c r="C4" s="595" t="s">
        <v>1219</v>
      </c>
      <c r="D4" s="595" t="s">
        <v>1220</v>
      </c>
      <c r="E4" s="595" t="s">
        <v>1219</v>
      </c>
      <c r="F4" s="595" t="s">
        <v>1220</v>
      </c>
      <c r="G4" s="595" t="s">
        <v>1219</v>
      </c>
      <c r="H4" s="595" t="s">
        <v>1220</v>
      </c>
      <c r="I4" s="595" t="s">
        <v>1498</v>
      </c>
      <c r="J4" s="595" t="s">
        <v>94</v>
      </c>
      <c r="K4" s="595" t="s">
        <v>681</v>
      </c>
      <c r="L4" s="595" t="s">
        <v>1496</v>
      </c>
      <c r="M4" s="595" t="s">
        <v>1497</v>
      </c>
      <c r="N4" s="595" t="s">
        <v>682</v>
      </c>
      <c r="O4" s="595" t="s">
        <v>683</v>
      </c>
      <c r="P4" s="595" t="s">
        <v>87</v>
      </c>
      <c r="Q4" s="595" t="s">
        <v>684</v>
      </c>
      <c r="R4" s="595" t="s">
        <v>685</v>
      </c>
      <c r="S4" s="595" t="s">
        <v>690</v>
      </c>
      <c r="T4" s="595" t="s">
        <v>686</v>
      </c>
      <c r="U4" s="595" t="s">
        <v>687</v>
      </c>
      <c r="V4" s="595" t="s">
        <v>688</v>
      </c>
      <c r="W4" s="595" t="s">
        <v>689</v>
      </c>
      <c r="X4" s="595" t="s">
        <v>138</v>
      </c>
      <c r="Y4" s="595" t="s">
        <v>1385</v>
      </c>
      <c r="Z4" s="595" t="s">
        <v>1238</v>
      </c>
    </row>
    <row r="5" spans="1:26" ht="14.45" customHeight="1" x14ac:dyDescent="0.25">
      <c r="A5" s="596" t="s">
        <v>381</v>
      </c>
      <c r="B5" s="597" t="s">
        <v>115</v>
      </c>
      <c r="C5" s="598">
        <v>3</v>
      </c>
      <c r="D5" s="599">
        <v>4929</v>
      </c>
      <c r="E5" s="598">
        <v>3</v>
      </c>
      <c r="F5" s="599">
        <v>5079</v>
      </c>
      <c r="G5" s="598">
        <f t="shared" ref="G5:H35" si="0">E5-C5</f>
        <v>0</v>
      </c>
      <c r="H5" s="653">
        <f t="shared" si="0"/>
        <v>150</v>
      </c>
      <c r="I5" s="599"/>
      <c r="J5" s="599">
        <v>2032</v>
      </c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>
        <f t="shared" ref="Z5:Z67" si="1">SUM(K5:Y5)</f>
        <v>0</v>
      </c>
    </row>
    <row r="6" spans="1:26" ht="14.45" customHeight="1" x14ac:dyDescent="0.25">
      <c r="A6" s="596" t="s">
        <v>1649</v>
      </c>
      <c r="B6" s="597" t="s">
        <v>61</v>
      </c>
      <c r="C6" s="598">
        <v>2</v>
      </c>
      <c r="D6" s="599">
        <v>3286</v>
      </c>
      <c r="E6" s="598">
        <v>2</v>
      </c>
      <c r="F6" s="599">
        <v>3386</v>
      </c>
      <c r="G6" s="598">
        <f t="shared" si="0"/>
        <v>0</v>
      </c>
      <c r="H6" s="653">
        <f t="shared" si="0"/>
        <v>100</v>
      </c>
      <c r="I6" s="599"/>
      <c r="J6" s="599">
        <v>1354</v>
      </c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>
        <f t="shared" si="1"/>
        <v>0</v>
      </c>
    </row>
    <row r="7" spans="1:26" ht="14.45" customHeight="1" x14ac:dyDescent="0.25">
      <c r="A7" s="596" t="s">
        <v>266</v>
      </c>
      <c r="B7" s="598" t="s">
        <v>61</v>
      </c>
      <c r="C7" s="598">
        <v>7</v>
      </c>
      <c r="D7" s="599">
        <v>11565.25</v>
      </c>
      <c r="E7" s="598">
        <v>7</v>
      </c>
      <c r="F7" s="599">
        <v>13458.45</v>
      </c>
      <c r="G7" s="598">
        <f t="shared" si="0"/>
        <v>0</v>
      </c>
      <c r="H7" s="653">
        <f t="shared" si="0"/>
        <v>1893.2000000000007</v>
      </c>
      <c r="I7" s="599"/>
      <c r="J7" s="599">
        <v>4503</v>
      </c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>
        <f t="shared" si="1"/>
        <v>0</v>
      </c>
    </row>
    <row r="8" spans="1:26" ht="14.45" customHeight="1" x14ac:dyDescent="0.25">
      <c r="A8" s="596" t="s">
        <v>267</v>
      </c>
      <c r="B8" s="598" t="s">
        <v>61</v>
      </c>
      <c r="C8" s="598">
        <v>10</v>
      </c>
      <c r="D8" s="599">
        <v>16247.800000000001</v>
      </c>
      <c r="E8" s="598">
        <v>10</v>
      </c>
      <c r="F8" s="599">
        <v>18283.5</v>
      </c>
      <c r="G8" s="598">
        <f t="shared" si="0"/>
        <v>0</v>
      </c>
      <c r="H8" s="653">
        <f t="shared" si="0"/>
        <v>2035.6999999999989</v>
      </c>
      <c r="I8" s="599"/>
      <c r="J8" s="599">
        <v>6433</v>
      </c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>
        <f t="shared" si="1"/>
        <v>0</v>
      </c>
    </row>
    <row r="9" spans="1:26" ht="14.45" customHeight="1" x14ac:dyDescent="0.25">
      <c r="A9" s="596" t="s">
        <v>379</v>
      </c>
      <c r="B9" s="598" t="s">
        <v>61</v>
      </c>
      <c r="C9" s="598">
        <v>11</v>
      </c>
      <c r="D9" s="599">
        <v>7244.5</v>
      </c>
      <c r="E9" s="598">
        <v>11</v>
      </c>
      <c r="F9" s="599">
        <v>6991.5999999999995</v>
      </c>
      <c r="G9" s="598">
        <f t="shared" si="0"/>
        <v>0</v>
      </c>
      <c r="H9" s="653">
        <f t="shared" si="0"/>
        <v>-252.90000000000055</v>
      </c>
      <c r="I9" s="599"/>
      <c r="J9" s="599">
        <v>1917</v>
      </c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>
        <f t="shared" si="1"/>
        <v>0</v>
      </c>
    </row>
    <row r="10" spans="1:26" ht="14.45" customHeight="1" x14ac:dyDescent="0.25">
      <c r="A10" s="596" t="s">
        <v>216</v>
      </c>
      <c r="B10" s="597" t="s">
        <v>61</v>
      </c>
      <c r="C10" s="598">
        <v>8</v>
      </c>
      <c r="D10" s="599">
        <v>11215.800000000001</v>
      </c>
      <c r="E10" s="598">
        <v>8</v>
      </c>
      <c r="F10" s="599">
        <v>12263</v>
      </c>
      <c r="G10" s="598">
        <f t="shared" si="0"/>
        <v>0</v>
      </c>
      <c r="H10" s="653">
        <f t="shared" si="0"/>
        <v>1047.1999999999989</v>
      </c>
      <c r="I10" s="599"/>
      <c r="J10" s="599">
        <v>4000</v>
      </c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>
        <f t="shared" si="1"/>
        <v>0</v>
      </c>
    </row>
    <row r="11" spans="1:26" ht="14.45" customHeight="1" x14ac:dyDescent="0.25">
      <c r="A11" s="600" t="s">
        <v>1628</v>
      </c>
      <c r="B11" s="597" t="s">
        <v>115</v>
      </c>
      <c r="C11" s="598">
        <v>3</v>
      </c>
      <c r="D11" s="599">
        <v>4785</v>
      </c>
      <c r="E11" s="598">
        <v>3</v>
      </c>
      <c r="F11" s="599">
        <v>4929</v>
      </c>
      <c r="G11" s="598">
        <f t="shared" si="0"/>
        <v>0</v>
      </c>
      <c r="H11" s="653">
        <f t="shared" si="0"/>
        <v>144</v>
      </c>
      <c r="I11" s="599"/>
      <c r="J11" s="599">
        <v>1972</v>
      </c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>
        <f t="shared" si="1"/>
        <v>0</v>
      </c>
    </row>
    <row r="12" spans="1:26" ht="14.45" customHeight="1" x14ac:dyDescent="0.25">
      <c r="A12" s="600" t="s">
        <v>1717</v>
      </c>
      <c r="B12" s="598" t="s">
        <v>61</v>
      </c>
      <c r="C12" s="598">
        <v>5</v>
      </c>
      <c r="D12" s="599">
        <v>6572</v>
      </c>
      <c r="E12" s="598">
        <v>5</v>
      </c>
      <c r="F12" s="599">
        <v>6772</v>
      </c>
      <c r="G12" s="598">
        <f t="shared" si="0"/>
        <v>0</v>
      </c>
      <c r="H12" s="653">
        <f t="shared" si="0"/>
        <v>200</v>
      </c>
      <c r="I12" s="599"/>
      <c r="J12" s="599">
        <v>2708.0400000000004</v>
      </c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>
        <f t="shared" si="1"/>
        <v>0</v>
      </c>
    </row>
    <row r="13" spans="1:26" ht="14.45" customHeight="1" x14ac:dyDescent="0.25">
      <c r="A13" s="596" t="s">
        <v>1716</v>
      </c>
      <c r="B13" s="598" t="s">
        <v>61</v>
      </c>
      <c r="C13" s="598">
        <v>5</v>
      </c>
      <c r="D13" s="599">
        <v>6572</v>
      </c>
      <c r="E13" s="598">
        <v>5</v>
      </c>
      <c r="F13" s="599">
        <v>6772</v>
      </c>
      <c r="G13" s="598">
        <f t="shared" si="0"/>
        <v>0</v>
      </c>
      <c r="H13" s="653">
        <f t="shared" si="0"/>
        <v>200</v>
      </c>
      <c r="I13" s="599"/>
      <c r="J13" s="599">
        <v>2708.0400000000004</v>
      </c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>
        <f t="shared" si="1"/>
        <v>0</v>
      </c>
    </row>
    <row r="14" spans="1:26" ht="14.45" customHeight="1" x14ac:dyDescent="0.25">
      <c r="A14" s="601" t="s">
        <v>1723</v>
      </c>
      <c r="B14" s="598" t="s">
        <v>61</v>
      </c>
      <c r="C14" s="598">
        <v>5</v>
      </c>
      <c r="D14" s="599">
        <v>6572</v>
      </c>
      <c r="E14" s="598">
        <v>5</v>
      </c>
      <c r="F14" s="599">
        <v>6772</v>
      </c>
      <c r="G14" s="598">
        <f t="shared" si="0"/>
        <v>0</v>
      </c>
      <c r="H14" s="653">
        <f t="shared" si="0"/>
        <v>200</v>
      </c>
      <c r="I14" s="599"/>
      <c r="J14" s="599">
        <v>2708.0400000000004</v>
      </c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>
        <f t="shared" si="1"/>
        <v>0</v>
      </c>
    </row>
    <row r="15" spans="1:26" ht="14.45" customHeight="1" x14ac:dyDescent="0.25">
      <c r="A15" s="601" t="s">
        <v>1718</v>
      </c>
      <c r="B15" s="598" t="s">
        <v>61</v>
      </c>
      <c r="C15" s="598">
        <v>5</v>
      </c>
      <c r="D15" s="599">
        <v>6572</v>
      </c>
      <c r="E15" s="598">
        <v>5</v>
      </c>
      <c r="F15" s="599">
        <v>6772</v>
      </c>
      <c r="G15" s="598">
        <f t="shared" si="0"/>
        <v>0</v>
      </c>
      <c r="H15" s="653">
        <f t="shared" si="0"/>
        <v>200</v>
      </c>
      <c r="I15" s="599"/>
      <c r="J15" s="599">
        <v>2708.0400000000004</v>
      </c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>
        <f t="shared" si="1"/>
        <v>0</v>
      </c>
    </row>
    <row r="16" spans="1:26" ht="14.45" customHeight="1" x14ac:dyDescent="0.25">
      <c r="A16" s="600" t="s">
        <v>1719</v>
      </c>
      <c r="B16" s="598" t="s">
        <v>61</v>
      </c>
      <c r="C16" s="598">
        <v>5</v>
      </c>
      <c r="D16" s="599">
        <v>6572</v>
      </c>
      <c r="E16" s="598">
        <v>5</v>
      </c>
      <c r="F16" s="599">
        <v>6772</v>
      </c>
      <c r="G16" s="598">
        <f t="shared" si="0"/>
        <v>0</v>
      </c>
      <c r="H16" s="653">
        <f t="shared" si="0"/>
        <v>200</v>
      </c>
      <c r="I16" s="599"/>
      <c r="J16" s="599">
        <v>2708.0400000000004</v>
      </c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>
        <f t="shared" si="1"/>
        <v>0</v>
      </c>
    </row>
    <row r="17" spans="1:26" ht="14.45" customHeight="1" x14ac:dyDescent="0.25">
      <c r="A17" s="600" t="s">
        <v>1720</v>
      </c>
      <c r="B17" s="598" t="s">
        <v>61</v>
      </c>
      <c r="C17" s="598">
        <v>5</v>
      </c>
      <c r="D17" s="599">
        <v>6572</v>
      </c>
      <c r="E17" s="598">
        <v>5</v>
      </c>
      <c r="F17" s="599">
        <v>6772</v>
      </c>
      <c r="G17" s="598">
        <f t="shared" si="0"/>
        <v>0</v>
      </c>
      <c r="H17" s="653">
        <f t="shared" si="0"/>
        <v>200</v>
      </c>
      <c r="I17" s="599"/>
      <c r="J17" s="599">
        <v>2708.0400000000004</v>
      </c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>
        <f t="shared" si="1"/>
        <v>0</v>
      </c>
    </row>
    <row r="18" spans="1:26" ht="14.45" customHeight="1" x14ac:dyDescent="0.25">
      <c r="A18" s="600" t="s">
        <v>1721</v>
      </c>
      <c r="B18" s="598" t="s">
        <v>61</v>
      </c>
      <c r="C18" s="598">
        <v>5</v>
      </c>
      <c r="D18" s="599">
        <v>6572</v>
      </c>
      <c r="E18" s="598">
        <v>5</v>
      </c>
      <c r="F18" s="599">
        <v>6772</v>
      </c>
      <c r="G18" s="598">
        <f t="shared" si="0"/>
        <v>0</v>
      </c>
      <c r="H18" s="653">
        <f t="shared" si="0"/>
        <v>200</v>
      </c>
      <c r="I18" s="599"/>
      <c r="J18" s="599">
        <v>2708.0400000000004</v>
      </c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>
        <f t="shared" si="1"/>
        <v>0</v>
      </c>
    </row>
    <row r="19" spans="1:26" ht="14.45" customHeight="1" x14ac:dyDescent="0.25">
      <c r="A19" s="600" t="s">
        <v>1722</v>
      </c>
      <c r="B19" s="598" t="s">
        <v>61</v>
      </c>
      <c r="C19" s="598">
        <v>5</v>
      </c>
      <c r="D19" s="599">
        <v>6572</v>
      </c>
      <c r="E19" s="598">
        <v>5</v>
      </c>
      <c r="F19" s="599">
        <v>6772</v>
      </c>
      <c r="G19" s="598">
        <f t="shared" si="0"/>
        <v>0</v>
      </c>
      <c r="H19" s="653">
        <f t="shared" si="0"/>
        <v>200</v>
      </c>
      <c r="I19" s="599"/>
      <c r="J19" s="599">
        <v>2708.0400000000004</v>
      </c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>
        <f t="shared" si="1"/>
        <v>0</v>
      </c>
    </row>
    <row r="20" spans="1:26" ht="14.45" customHeight="1" x14ac:dyDescent="0.25">
      <c r="A20" s="596" t="s">
        <v>1459</v>
      </c>
      <c r="B20" s="598" t="s">
        <v>61</v>
      </c>
      <c r="C20" s="598">
        <v>10</v>
      </c>
      <c r="D20" s="599">
        <v>13028</v>
      </c>
      <c r="E20" s="598">
        <v>10</v>
      </c>
      <c r="F20" s="599">
        <v>15825</v>
      </c>
      <c r="G20" s="598">
        <f t="shared" si="0"/>
        <v>0</v>
      </c>
      <c r="H20" s="653">
        <f t="shared" si="0"/>
        <v>2797</v>
      </c>
      <c r="I20" s="599"/>
      <c r="J20" s="599">
        <v>4000</v>
      </c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>
        <f t="shared" si="1"/>
        <v>0</v>
      </c>
    </row>
    <row r="21" spans="1:26" ht="14.45" customHeight="1" x14ac:dyDescent="0.25">
      <c r="A21" s="596" t="s">
        <v>1623</v>
      </c>
      <c r="B21" s="597" t="s">
        <v>61</v>
      </c>
      <c r="C21" s="598">
        <v>4</v>
      </c>
      <c r="D21" s="599">
        <v>6293</v>
      </c>
      <c r="E21" s="598">
        <v>4</v>
      </c>
      <c r="F21" s="599">
        <v>6343</v>
      </c>
      <c r="G21" s="598">
        <f t="shared" si="0"/>
        <v>0</v>
      </c>
      <c r="H21" s="653">
        <f t="shared" si="0"/>
        <v>50</v>
      </c>
      <c r="I21" s="599"/>
      <c r="J21" s="599">
        <v>677</v>
      </c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>
        <f t="shared" si="1"/>
        <v>0</v>
      </c>
    </row>
    <row r="22" spans="1:26" ht="14.45" customHeight="1" x14ac:dyDescent="0.25">
      <c r="A22" s="596" t="s">
        <v>375</v>
      </c>
      <c r="B22" s="598" t="s">
        <v>115</v>
      </c>
      <c r="C22" s="598">
        <v>4</v>
      </c>
      <c r="D22" s="599">
        <v>6572</v>
      </c>
      <c r="E22" s="598">
        <v>4</v>
      </c>
      <c r="F22" s="599">
        <v>6772</v>
      </c>
      <c r="G22" s="598">
        <f t="shared" si="0"/>
        <v>0</v>
      </c>
      <c r="H22" s="653">
        <f t="shared" si="0"/>
        <v>200</v>
      </c>
      <c r="I22" s="599"/>
      <c r="J22" s="599">
        <v>2628</v>
      </c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>
        <f t="shared" si="1"/>
        <v>0</v>
      </c>
    </row>
    <row r="23" spans="1:26" ht="14.45" customHeight="1" x14ac:dyDescent="0.25">
      <c r="A23" s="596" t="s">
        <v>383</v>
      </c>
      <c r="B23" s="598" t="s">
        <v>61</v>
      </c>
      <c r="C23" s="598">
        <v>2</v>
      </c>
      <c r="D23" s="599">
        <v>2957</v>
      </c>
      <c r="E23" s="598">
        <v>2</v>
      </c>
      <c r="F23" s="599">
        <v>3047.4</v>
      </c>
      <c r="G23" s="598">
        <f t="shared" si="0"/>
        <v>0</v>
      </c>
      <c r="H23" s="653">
        <f t="shared" si="0"/>
        <v>90.400000000000091</v>
      </c>
      <c r="I23" s="599"/>
      <c r="J23" s="599">
        <v>1218.96</v>
      </c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>
        <f t="shared" si="1"/>
        <v>0</v>
      </c>
    </row>
    <row r="24" spans="1:26" ht="14.45" customHeight="1" x14ac:dyDescent="0.25">
      <c r="A24" s="596" t="s">
        <v>1562</v>
      </c>
      <c r="B24" s="598" t="s">
        <v>61</v>
      </c>
      <c r="C24" s="598">
        <v>8</v>
      </c>
      <c r="D24" s="599">
        <v>11830</v>
      </c>
      <c r="E24" s="598">
        <v>8</v>
      </c>
      <c r="F24" s="599">
        <v>12189.600000000002</v>
      </c>
      <c r="G24" s="598">
        <f t="shared" si="0"/>
        <v>0</v>
      </c>
      <c r="H24" s="653">
        <f t="shared" si="0"/>
        <v>359.60000000000218</v>
      </c>
      <c r="I24" s="599"/>
      <c r="J24" s="599">
        <v>4874.3600000000006</v>
      </c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>
        <f t="shared" si="1"/>
        <v>0</v>
      </c>
    </row>
    <row r="25" spans="1:26" ht="14.45" customHeight="1" x14ac:dyDescent="0.25">
      <c r="A25" s="596" t="s">
        <v>1563</v>
      </c>
      <c r="B25" s="598" t="s">
        <v>61</v>
      </c>
      <c r="C25" s="598">
        <v>4</v>
      </c>
      <c r="D25" s="599">
        <v>5915</v>
      </c>
      <c r="E25" s="598">
        <v>4</v>
      </c>
      <c r="F25" s="599">
        <v>6094.8</v>
      </c>
      <c r="G25" s="598">
        <f t="shared" si="0"/>
        <v>0</v>
      </c>
      <c r="H25" s="653">
        <f t="shared" si="0"/>
        <v>179.80000000000018</v>
      </c>
      <c r="I25" s="599"/>
      <c r="J25" s="599">
        <v>2437.44</v>
      </c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>
        <f t="shared" si="1"/>
        <v>0</v>
      </c>
    </row>
    <row r="26" spans="1:26" ht="14.45" customHeight="1" x14ac:dyDescent="0.25">
      <c r="A26" s="596" t="s">
        <v>384</v>
      </c>
      <c r="B26" s="598" t="s">
        <v>61</v>
      </c>
      <c r="C26" s="598">
        <v>2</v>
      </c>
      <c r="D26" s="599">
        <v>2957</v>
      </c>
      <c r="E26" s="598">
        <v>2</v>
      </c>
      <c r="F26" s="599">
        <v>3047.4</v>
      </c>
      <c r="G26" s="598">
        <f t="shared" si="0"/>
        <v>0</v>
      </c>
      <c r="H26" s="653">
        <f t="shared" si="0"/>
        <v>90.400000000000091</v>
      </c>
      <c r="I26" s="599"/>
      <c r="J26" s="599">
        <v>1218.96</v>
      </c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>
        <f t="shared" si="1"/>
        <v>0</v>
      </c>
    </row>
    <row r="27" spans="1:26" ht="14.45" customHeight="1" x14ac:dyDescent="0.25">
      <c r="A27" s="596" t="s">
        <v>269</v>
      </c>
      <c r="B27" s="598" t="s">
        <v>61</v>
      </c>
      <c r="C27" s="598">
        <v>8</v>
      </c>
      <c r="D27" s="599">
        <v>14030</v>
      </c>
      <c r="E27" s="598">
        <v>8</v>
      </c>
      <c r="F27" s="599">
        <v>14389.600000000002</v>
      </c>
      <c r="G27" s="598">
        <f t="shared" si="0"/>
        <v>0</v>
      </c>
      <c r="H27" s="653">
        <f t="shared" si="0"/>
        <v>359.60000000000218</v>
      </c>
      <c r="I27" s="599"/>
      <c r="J27" s="599">
        <v>4874.3600000000006</v>
      </c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>
        <f t="shared" si="1"/>
        <v>0</v>
      </c>
    </row>
    <row r="28" spans="1:26" ht="14.45" customHeight="1" x14ac:dyDescent="0.25">
      <c r="A28" s="596" t="s">
        <v>382</v>
      </c>
      <c r="B28" s="598" t="s">
        <v>61</v>
      </c>
      <c r="C28" s="598">
        <v>2</v>
      </c>
      <c r="D28" s="599">
        <v>2957</v>
      </c>
      <c r="E28" s="598">
        <v>2</v>
      </c>
      <c r="F28" s="599">
        <v>3047.4</v>
      </c>
      <c r="G28" s="598">
        <f t="shared" si="0"/>
        <v>0</v>
      </c>
      <c r="H28" s="653">
        <f t="shared" si="0"/>
        <v>90.400000000000091</v>
      </c>
      <c r="I28" s="599"/>
      <c r="J28" s="599">
        <v>1218.96</v>
      </c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>
        <f t="shared" si="1"/>
        <v>0</v>
      </c>
    </row>
    <row r="29" spans="1:26" ht="14.45" customHeight="1" x14ac:dyDescent="0.25">
      <c r="A29" s="596" t="s">
        <v>116</v>
      </c>
      <c r="B29" s="597" t="s">
        <v>61</v>
      </c>
      <c r="C29" s="598">
        <v>4</v>
      </c>
      <c r="D29" s="599">
        <v>6572</v>
      </c>
      <c r="E29" s="598">
        <v>4</v>
      </c>
      <c r="F29" s="599">
        <v>6772</v>
      </c>
      <c r="G29" s="598">
        <f t="shared" si="0"/>
        <v>0</v>
      </c>
      <c r="H29" s="653">
        <f t="shared" si="0"/>
        <v>200</v>
      </c>
      <c r="I29" s="599"/>
      <c r="J29" s="599">
        <v>2709</v>
      </c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>
        <f t="shared" si="1"/>
        <v>0</v>
      </c>
    </row>
    <row r="30" spans="1:26" ht="14.45" customHeight="1" x14ac:dyDescent="0.25">
      <c r="A30" s="596" t="s">
        <v>1405</v>
      </c>
      <c r="B30" s="597" t="s">
        <v>115</v>
      </c>
      <c r="C30" s="598">
        <v>10</v>
      </c>
      <c r="D30" s="599">
        <v>18060</v>
      </c>
      <c r="E30" s="598">
        <v>10</v>
      </c>
      <c r="F30" s="599">
        <v>18444</v>
      </c>
      <c r="G30" s="598">
        <f t="shared" si="0"/>
        <v>0</v>
      </c>
      <c r="H30" s="653">
        <f t="shared" si="0"/>
        <v>384</v>
      </c>
      <c r="I30" s="599"/>
      <c r="J30" s="599">
        <v>5258</v>
      </c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>
        <f t="shared" si="1"/>
        <v>0</v>
      </c>
    </row>
    <row r="31" spans="1:26" ht="14.45" customHeight="1" x14ac:dyDescent="0.25">
      <c r="A31" s="596" t="s">
        <v>380</v>
      </c>
      <c r="B31" s="598" t="s">
        <v>61</v>
      </c>
      <c r="C31" s="598">
        <v>8</v>
      </c>
      <c r="D31" s="599">
        <v>10796</v>
      </c>
      <c r="E31" s="598">
        <v>8</v>
      </c>
      <c r="F31" s="599">
        <v>11118.599999999999</v>
      </c>
      <c r="G31" s="598">
        <f t="shared" si="0"/>
        <v>0</v>
      </c>
      <c r="H31" s="653">
        <f t="shared" si="0"/>
        <v>322.59999999999854</v>
      </c>
      <c r="I31" s="599"/>
      <c r="J31" s="599">
        <v>4000</v>
      </c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>
        <f t="shared" si="1"/>
        <v>0</v>
      </c>
    </row>
    <row r="32" spans="1:26" ht="14.45" customHeight="1" x14ac:dyDescent="0.25">
      <c r="A32" s="600" t="s">
        <v>1647</v>
      </c>
      <c r="B32" s="598" t="s">
        <v>61</v>
      </c>
      <c r="C32" s="598">
        <v>7</v>
      </c>
      <c r="D32" s="599">
        <v>11501</v>
      </c>
      <c r="E32" s="598">
        <v>7</v>
      </c>
      <c r="F32" s="599">
        <v>11851</v>
      </c>
      <c r="G32" s="598">
        <f t="shared" si="0"/>
        <v>0</v>
      </c>
      <c r="H32" s="653">
        <f t="shared" si="0"/>
        <v>350</v>
      </c>
      <c r="I32" s="599"/>
      <c r="J32" s="599">
        <v>4740</v>
      </c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>
        <f t="shared" si="1"/>
        <v>0</v>
      </c>
    </row>
    <row r="33" spans="1:26" ht="14.45" customHeight="1" x14ac:dyDescent="0.25">
      <c r="A33" s="600" t="s">
        <v>1641</v>
      </c>
      <c r="B33" s="597" t="s">
        <v>61</v>
      </c>
      <c r="C33" s="598">
        <v>8</v>
      </c>
      <c r="D33" s="599">
        <v>15344</v>
      </c>
      <c r="E33" s="598">
        <v>8</v>
      </c>
      <c r="F33" s="599">
        <v>15744</v>
      </c>
      <c r="G33" s="598">
        <f t="shared" si="0"/>
        <v>0</v>
      </c>
      <c r="H33" s="653">
        <f t="shared" si="0"/>
        <v>400</v>
      </c>
      <c r="I33" s="599"/>
      <c r="J33" s="599">
        <v>5418</v>
      </c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>
        <f t="shared" si="1"/>
        <v>0</v>
      </c>
    </row>
    <row r="34" spans="1:26" ht="14.45" customHeight="1" x14ac:dyDescent="0.25">
      <c r="A34" s="598"/>
      <c r="B34" s="597"/>
      <c r="C34" s="598"/>
      <c r="D34" s="599"/>
      <c r="E34" s="598"/>
      <c r="F34" s="599"/>
      <c r="G34" s="598">
        <f t="shared" si="0"/>
        <v>0</v>
      </c>
      <c r="H34" s="599">
        <f t="shared" si="0"/>
        <v>0</v>
      </c>
      <c r="I34" s="599"/>
      <c r="J34" s="599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>
        <f t="shared" si="1"/>
        <v>0</v>
      </c>
    </row>
    <row r="35" spans="1:26" ht="14.45" customHeight="1" x14ac:dyDescent="0.25">
      <c r="A35" s="598"/>
      <c r="B35" s="597"/>
      <c r="C35" s="598"/>
      <c r="D35" s="599"/>
      <c r="E35" s="598"/>
      <c r="F35" s="599"/>
      <c r="G35" s="598">
        <f t="shared" si="0"/>
        <v>0</v>
      </c>
      <c r="H35" s="599">
        <f t="shared" si="0"/>
        <v>0</v>
      </c>
      <c r="I35" s="599"/>
      <c r="J35" s="599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>
        <f t="shared" si="1"/>
        <v>0</v>
      </c>
    </row>
    <row r="36" spans="1:26" ht="14.45" hidden="1" customHeight="1" x14ac:dyDescent="0.25">
      <c r="A36" s="598"/>
      <c r="B36" s="597"/>
      <c r="C36" s="598"/>
      <c r="D36" s="599"/>
      <c r="E36" s="598"/>
      <c r="F36" s="599"/>
      <c r="G36" s="598">
        <f t="shared" ref="G36:H67" si="2">E36-C36</f>
        <v>0</v>
      </c>
      <c r="H36" s="599">
        <f t="shared" si="2"/>
        <v>0</v>
      </c>
      <c r="I36" s="599"/>
      <c r="J36" s="599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>
        <f t="shared" si="1"/>
        <v>0</v>
      </c>
    </row>
    <row r="37" spans="1:26" ht="14.45" hidden="1" customHeight="1" x14ac:dyDescent="0.25">
      <c r="A37" s="597"/>
      <c r="B37" s="597"/>
      <c r="C37" s="598"/>
      <c r="D37" s="599"/>
      <c r="E37" s="598"/>
      <c r="F37" s="599"/>
      <c r="G37" s="598">
        <f t="shared" si="2"/>
        <v>0</v>
      </c>
      <c r="H37" s="599">
        <f t="shared" si="2"/>
        <v>0</v>
      </c>
      <c r="I37" s="599"/>
      <c r="J37" s="599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>
        <f t="shared" si="1"/>
        <v>0</v>
      </c>
    </row>
    <row r="38" spans="1:26" ht="14.45" hidden="1" customHeight="1" x14ac:dyDescent="0.25">
      <c r="A38" s="597"/>
      <c r="B38" s="597"/>
      <c r="C38" s="598"/>
      <c r="D38" s="599"/>
      <c r="E38" s="598"/>
      <c r="F38" s="599"/>
      <c r="G38" s="598">
        <f t="shared" si="2"/>
        <v>0</v>
      </c>
      <c r="H38" s="599">
        <f t="shared" si="2"/>
        <v>0</v>
      </c>
      <c r="I38" s="599"/>
      <c r="J38" s="599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>
        <f t="shared" si="1"/>
        <v>0</v>
      </c>
    </row>
    <row r="39" spans="1:26" ht="14.45" hidden="1" customHeight="1" x14ac:dyDescent="0.25">
      <c r="A39" s="597"/>
      <c r="B39" s="597"/>
      <c r="C39" s="598"/>
      <c r="D39" s="599"/>
      <c r="E39" s="598"/>
      <c r="F39" s="599"/>
      <c r="G39" s="598">
        <f t="shared" si="2"/>
        <v>0</v>
      </c>
      <c r="H39" s="599">
        <f t="shared" si="2"/>
        <v>0</v>
      </c>
      <c r="I39" s="599"/>
      <c r="J39" s="599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598"/>
      <c r="V39" s="598"/>
      <c r="W39" s="598"/>
      <c r="X39" s="598"/>
      <c r="Y39" s="598"/>
      <c r="Z39" s="598">
        <f t="shared" si="1"/>
        <v>0</v>
      </c>
    </row>
    <row r="40" spans="1:26" ht="14.45" hidden="1" customHeight="1" x14ac:dyDescent="0.25">
      <c r="A40" s="597"/>
      <c r="B40" s="597"/>
      <c r="C40" s="598"/>
      <c r="D40" s="599"/>
      <c r="E40" s="598"/>
      <c r="F40" s="599"/>
      <c r="G40" s="598">
        <f t="shared" si="2"/>
        <v>0</v>
      </c>
      <c r="H40" s="599">
        <f t="shared" si="2"/>
        <v>0</v>
      </c>
      <c r="I40" s="599"/>
      <c r="J40" s="599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598"/>
      <c r="Z40" s="598">
        <f t="shared" si="1"/>
        <v>0</v>
      </c>
    </row>
    <row r="41" spans="1:26" ht="14.45" hidden="1" customHeight="1" x14ac:dyDescent="0.25">
      <c r="A41" s="597"/>
      <c r="B41" s="597"/>
      <c r="C41" s="598"/>
      <c r="D41" s="599"/>
      <c r="E41" s="598"/>
      <c r="F41" s="599"/>
      <c r="G41" s="598">
        <f t="shared" si="2"/>
        <v>0</v>
      </c>
      <c r="H41" s="599">
        <f t="shared" si="2"/>
        <v>0</v>
      </c>
      <c r="I41" s="599"/>
      <c r="J41" s="599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>
        <f t="shared" si="1"/>
        <v>0</v>
      </c>
    </row>
    <row r="42" spans="1:26" ht="15" hidden="1" customHeight="1" x14ac:dyDescent="0.25">
      <c r="A42" s="597"/>
      <c r="B42" s="597"/>
      <c r="C42" s="598"/>
      <c r="D42" s="599"/>
      <c r="E42" s="598"/>
      <c r="F42" s="599"/>
      <c r="G42" s="598">
        <f t="shared" si="2"/>
        <v>0</v>
      </c>
      <c r="H42" s="599">
        <f t="shared" si="2"/>
        <v>0</v>
      </c>
      <c r="I42" s="599"/>
      <c r="J42" s="599"/>
      <c r="K42" s="598"/>
      <c r="L42" s="598"/>
      <c r="M42" s="598"/>
      <c r="N42" s="598"/>
      <c r="O42" s="598"/>
      <c r="P42" s="598"/>
      <c r="Q42" s="598"/>
      <c r="R42" s="598"/>
      <c r="S42" s="598"/>
      <c r="T42" s="598"/>
      <c r="U42" s="598"/>
      <c r="V42" s="598"/>
      <c r="W42" s="598"/>
      <c r="X42" s="598"/>
      <c r="Y42" s="598"/>
      <c r="Z42" s="598">
        <f t="shared" si="1"/>
        <v>0</v>
      </c>
    </row>
    <row r="43" spans="1:26" ht="15" hidden="1" customHeight="1" x14ac:dyDescent="0.25">
      <c r="A43" s="597"/>
      <c r="B43" s="597"/>
      <c r="C43" s="598"/>
      <c r="D43" s="599"/>
      <c r="E43" s="598"/>
      <c r="F43" s="599"/>
      <c r="G43" s="598">
        <f t="shared" si="2"/>
        <v>0</v>
      </c>
      <c r="H43" s="599">
        <f t="shared" si="2"/>
        <v>0</v>
      </c>
      <c r="I43" s="599"/>
      <c r="J43" s="599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>
        <f t="shared" si="1"/>
        <v>0</v>
      </c>
    </row>
    <row r="44" spans="1:26" ht="15" hidden="1" customHeight="1" x14ac:dyDescent="0.25">
      <c r="A44" s="597"/>
      <c r="B44" s="597"/>
      <c r="C44" s="597"/>
      <c r="D44" s="599"/>
      <c r="E44" s="598"/>
      <c r="F44" s="599"/>
      <c r="G44" s="598">
        <f t="shared" si="2"/>
        <v>0</v>
      </c>
      <c r="H44" s="599">
        <f t="shared" si="2"/>
        <v>0</v>
      </c>
      <c r="I44" s="599"/>
      <c r="J44" s="599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>
        <f t="shared" si="1"/>
        <v>0</v>
      </c>
    </row>
    <row r="45" spans="1:26" ht="15" hidden="1" customHeight="1" x14ac:dyDescent="0.25">
      <c r="A45" s="597"/>
      <c r="B45" s="597"/>
      <c r="C45" s="598"/>
      <c r="D45" s="599"/>
      <c r="E45" s="598"/>
      <c r="F45" s="599"/>
      <c r="G45" s="598">
        <f t="shared" si="2"/>
        <v>0</v>
      </c>
      <c r="H45" s="599">
        <f t="shared" si="2"/>
        <v>0</v>
      </c>
      <c r="I45" s="599"/>
      <c r="J45" s="599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8">
        <f t="shared" si="1"/>
        <v>0</v>
      </c>
    </row>
    <row r="46" spans="1:26" ht="15" hidden="1" customHeight="1" x14ac:dyDescent="0.25">
      <c r="A46" s="597"/>
      <c r="B46" s="597"/>
      <c r="C46" s="598"/>
      <c r="D46" s="599"/>
      <c r="E46" s="598"/>
      <c r="F46" s="599"/>
      <c r="G46" s="598">
        <f t="shared" si="2"/>
        <v>0</v>
      </c>
      <c r="H46" s="599">
        <f t="shared" si="2"/>
        <v>0</v>
      </c>
      <c r="I46" s="599"/>
      <c r="J46" s="599"/>
      <c r="K46" s="598"/>
      <c r="L46" s="598"/>
      <c r="M46" s="598"/>
      <c r="N46" s="598"/>
      <c r="O46" s="598"/>
      <c r="P46" s="598"/>
      <c r="Q46" s="598"/>
      <c r="R46" s="598"/>
      <c r="S46" s="598"/>
      <c r="T46" s="598"/>
      <c r="U46" s="598"/>
      <c r="V46" s="598"/>
      <c r="W46" s="598"/>
      <c r="X46" s="598"/>
      <c r="Y46" s="598"/>
      <c r="Z46" s="598">
        <f t="shared" si="1"/>
        <v>0</v>
      </c>
    </row>
    <row r="47" spans="1:26" ht="15" hidden="1" customHeight="1" x14ac:dyDescent="0.25">
      <c r="A47" s="597"/>
      <c r="B47" s="597"/>
      <c r="C47" s="598"/>
      <c r="D47" s="599"/>
      <c r="E47" s="598"/>
      <c r="F47" s="599"/>
      <c r="G47" s="598">
        <f t="shared" si="2"/>
        <v>0</v>
      </c>
      <c r="H47" s="599">
        <f t="shared" si="2"/>
        <v>0</v>
      </c>
      <c r="I47" s="599"/>
      <c r="J47" s="599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>
        <f t="shared" si="1"/>
        <v>0</v>
      </c>
    </row>
    <row r="48" spans="1:26" ht="15" hidden="1" customHeight="1" x14ac:dyDescent="0.25">
      <c r="A48" s="597"/>
      <c r="B48" s="597"/>
      <c r="C48" s="598"/>
      <c r="D48" s="599"/>
      <c r="E48" s="598"/>
      <c r="F48" s="599"/>
      <c r="G48" s="598">
        <f t="shared" si="2"/>
        <v>0</v>
      </c>
      <c r="H48" s="599">
        <f t="shared" si="2"/>
        <v>0</v>
      </c>
      <c r="I48" s="599"/>
      <c r="J48" s="599"/>
      <c r="K48" s="598"/>
      <c r="L48" s="598"/>
      <c r="M48" s="598"/>
      <c r="N48" s="598"/>
      <c r="O48" s="598"/>
      <c r="P48" s="598"/>
      <c r="Q48" s="598"/>
      <c r="R48" s="598"/>
      <c r="S48" s="598"/>
      <c r="T48" s="598"/>
      <c r="U48" s="598"/>
      <c r="V48" s="598"/>
      <c r="W48" s="598"/>
      <c r="X48" s="598"/>
      <c r="Y48" s="598"/>
      <c r="Z48" s="598">
        <f t="shared" si="1"/>
        <v>0</v>
      </c>
    </row>
    <row r="49" spans="1:26" ht="15" hidden="1" customHeight="1" x14ac:dyDescent="0.25">
      <c r="A49" s="598"/>
      <c r="B49" s="597"/>
      <c r="C49" s="598"/>
      <c r="D49" s="599"/>
      <c r="E49" s="598"/>
      <c r="F49" s="599"/>
      <c r="G49" s="598">
        <f t="shared" si="2"/>
        <v>0</v>
      </c>
      <c r="H49" s="599">
        <f t="shared" si="2"/>
        <v>0</v>
      </c>
      <c r="I49" s="599"/>
      <c r="J49" s="599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>
        <f t="shared" si="1"/>
        <v>0</v>
      </c>
    </row>
    <row r="50" spans="1:26" ht="15" hidden="1" customHeight="1" x14ac:dyDescent="0.25">
      <c r="A50" s="597"/>
      <c r="B50" s="597"/>
      <c r="C50" s="597"/>
      <c r="D50" s="599"/>
      <c r="E50" s="597"/>
      <c r="F50" s="599"/>
      <c r="G50" s="598">
        <f t="shared" si="2"/>
        <v>0</v>
      </c>
      <c r="H50" s="599">
        <f t="shared" si="2"/>
        <v>0</v>
      </c>
      <c r="I50" s="599"/>
      <c r="J50" s="599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>
        <f t="shared" si="1"/>
        <v>0</v>
      </c>
    </row>
    <row r="51" spans="1:26" ht="15" hidden="1" customHeight="1" x14ac:dyDescent="0.25">
      <c r="A51" s="597"/>
      <c r="B51" s="597"/>
      <c r="C51" s="597"/>
      <c r="D51" s="599"/>
      <c r="E51" s="597"/>
      <c r="F51" s="599"/>
      <c r="G51" s="598">
        <f t="shared" si="2"/>
        <v>0</v>
      </c>
      <c r="H51" s="599">
        <f t="shared" si="2"/>
        <v>0</v>
      </c>
      <c r="I51" s="599"/>
      <c r="J51" s="599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>
        <f t="shared" si="1"/>
        <v>0</v>
      </c>
    </row>
    <row r="52" spans="1:26" ht="15" hidden="1" customHeight="1" x14ac:dyDescent="0.25">
      <c r="A52" s="597"/>
      <c r="B52" s="597"/>
      <c r="C52" s="597"/>
      <c r="D52" s="599"/>
      <c r="E52" s="597"/>
      <c r="F52" s="599"/>
      <c r="G52" s="598">
        <f t="shared" si="2"/>
        <v>0</v>
      </c>
      <c r="H52" s="599">
        <f t="shared" si="2"/>
        <v>0</v>
      </c>
      <c r="I52" s="599"/>
      <c r="J52" s="599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>
        <f t="shared" si="1"/>
        <v>0</v>
      </c>
    </row>
    <row r="53" spans="1:26" ht="15" hidden="1" customHeight="1" x14ac:dyDescent="0.25">
      <c r="A53" s="597"/>
      <c r="B53" s="597"/>
      <c r="C53" s="597"/>
      <c r="D53" s="599"/>
      <c r="E53" s="597"/>
      <c r="F53" s="599"/>
      <c r="G53" s="598">
        <f t="shared" si="2"/>
        <v>0</v>
      </c>
      <c r="H53" s="599">
        <f t="shared" si="2"/>
        <v>0</v>
      </c>
      <c r="I53" s="599"/>
      <c r="J53" s="599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>
        <f t="shared" si="1"/>
        <v>0</v>
      </c>
    </row>
    <row r="54" spans="1:26" ht="15" hidden="1" customHeight="1" x14ac:dyDescent="0.25">
      <c r="A54" s="597"/>
      <c r="B54" s="597"/>
      <c r="C54" s="597"/>
      <c r="D54" s="599"/>
      <c r="E54" s="597"/>
      <c r="F54" s="599"/>
      <c r="G54" s="598">
        <f t="shared" si="2"/>
        <v>0</v>
      </c>
      <c r="H54" s="599">
        <f t="shared" si="2"/>
        <v>0</v>
      </c>
      <c r="I54" s="599"/>
      <c r="J54" s="599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>
        <f t="shared" si="1"/>
        <v>0</v>
      </c>
    </row>
    <row r="55" spans="1:26" ht="15" hidden="1" customHeight="1" x14ac:dyDescent="0.25">
      <c r="A55" s="597"/>
      <c r="B55" s="597"/>
      <c r="C55" s="597"/>
      <c r="D55" s="599"/>
      <c r="E55" s="597"/>
      <c r="F55" s="599"/>
      <c r="G55" s="598">
        <f t="shared" si="2"/>
        <v>0</v>
      </c>
      <c r="H55" s="599">
        <f t="shared" si="2"/>
        <v>0</v>
      </c>
      <c r="I55" s="599"/>
      <c r="J55" s="599"/>
      <c r="K55" s="598"/>
      <c r="L55" s="598"/>
      <c r="M55" s="598"/>
      <c r="N55" s="598"/>
      <c r="O55" s="598"/>
      <c r="P55" s="598"/>
      <c r="Q55" s="598"/>
      <c r="R55" s="598"/>
      <c r="S55" s="598"/>
      <c r="T55" s="598"/>
      <c r="U55" s="598"/>
      <c r="V55" s="598"/>
      <c r="W55" s="598"/>
      <c r="X55" s="598"/>
      <c r="Y55" s="598"/>
      <c r="Z55" s="598">
        <f t="shared" si="1"/>
        <v>0</v>
      </c>
    </row>
    <row r="56" spans="1:26" ht="15" hidden="1" customHeight="1" x14ac:dyDescent="0.25">
      <c r="A56" s="597"/>
      <c r="B56" s="597"/>
      <c r="C56" s="597"/>
      <c r="D56" s="599"/>
      <c r="E56" s="597"/>
      <c r="F56" s="599"/>
      <c r="G56" s="598">
        <f t="shared" si="2"/>
        <v>0</v>
      </c>
      <c r="H56" s="599">
        <f t="shared" si="2"/>
        <v>0</v>
      </c>
      <c r="I56" s="599"/>
      <c r="J56" s="599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>
        <f t="shared" si="1"/>
        <v>0</v>
      </c>
    </row>
    <row r="57" spans="1:26" ht="15" hidden="1" customHeight="1" x14ac:dyDescent="0.25">
      <c r="A57" s="597"/>
      <c r="B57" s="597"/>
      <c r="C57" s="598"/>
      <c r="D57" s="599"/>
      <c r="E57" s="598"/>
      <c r="F57" s="599"/>
      <c r="G57" s="598">
        <f t="shared" si="2"/>
        <v>0</v>
      </c>
      <c r="H57" s="599">
        <f t="shared" si="2"/>
        <v>0</v>
      </c>
      <c r="I57" s="599"/>
      <c r="J57" s="599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8">
        <f t="shared" si="1"/>
        <v>0</v>
      </c>
    </row>
    <row r="58" spans="1:26" ht="15" hidden="1" customHeight="1" x14ac:dyDescent="0.25">
      <c r="A58" s="597"/>
      <c r="B58" s="597"/>
      <c r="C58" s="598"/>
      <c r="D58" s="599"/>
      <c r="E58" s="598"/>
      <c r="F58" s="599"/>
      <c r="G58" s="598">
        <f t="shared" si="2"/>
        <v>0</v>
      </c>
      <c r="H58" s="599">
        <f t="shared" si="2"/>
        <v>0</v>
      </c>
      <c r="I58" s="599"/>
      <c r="J58" s="599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8"/>
      <c r="X58" s="598"/>
      <c r="Y58" s="598"/>
      <c r="Z58" s="598">
        <f t="shared" si="1"/>
        <v>0</v>
      </c>
    </row>
    <row r="59" spans="1:26" ht="15" hidden="1" customHeight="1" x14ac:dyDescent="0.25">
      <c r="A59" s="597"/>
      <c r="B59" s="597"/>
      <c r="C59" s="598"/>
      <c r="D59" s="599"/>
      <c r="E59" s="598"/>
      <c r="F59" s="599"/>
      <c r="G59" s="598">
        <f t="shared" si="2"/>
        <v>0</v>
      </c>
      <c r="H59" s="599">
        <f t="shared" si="2"/>
        <v>0</v>
      </c>
      <c r="I59" s="599"/>
      <c r="J59" s="599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>
        <f t="shared" si="1"/>
        <v>0</v>
      </c>
    </row>
    <row r="60" spans="1:26" ht="15" hidden="1" customHeight="1" x14ac:dyDescent="0.25">
      <c r="A60" s="597"/>
      <c r="B60" s="597"/>
      <c r="C60" s="598"/>
      <c r="D60" s="599"/>
      <c r="E60" s="598"/>
      <c r="F60" s="599"/>
      <c r="G60" s="598">
        <f t="shared" si="2"/>
        <v>0</v>
      </c>
      <c r="H60" s="599">
        <f t="shared" si="2"/>
        <v>0</v>
      </c>
      <c r="I60" s="599"/>
      <c r="J60" s="599"/>
      <c r="K60" s="598"/>
      <c r="L60" s="598"/>
      <c r="M60" s="598"/>
      <c r="N60" s="598"/>
      <c r="O60" s="598"/>
      <c r="P60" s="598"/>
      <c r="Q60" s="598"/>
      <c r="R60" s="598"/>
      <c r="S60" s="598"/>
      <c r="T60" s="598"/>
      <c r="U60" s="598"/>
      <c r="V60" s="598"/>
      <c r="W60" s="598"/>
      <c r="X60" s="598"/>
      <c r="Y60" s="598"/>
      <c r="Z60" s="598">
        <f t="shared" si="1"/>
        <v>0</v>
      </c>
    </row>
    <row r="61" spans="1:26" ht="15" hidden="1" customHeight="1" x14ac:dyDescent="0.25">
      <c r="A61" s="597"/>
      <c r="B61" s="597"/>
      <c r="C61" s="598"/>
      <c r="D61" s="599"/>
      <c r="E61" s="598"/>
      <c r="F61" s="599"/>
      <c r="G61" s="598">
        <f t="shared" si="2"/>
        <v>0</v>
      </c>
      <c r="H61" s="599">
        <f t="shared" si="2"/>
        <v>0</v>
      </c>
      <c r="I61" s="599"/>
      <c r="J61" s="599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598">
        <f t="shared" si="1"/>
        <v>0</v>
      </c>
    </row>
    <row r="62" spans="1:26" ht="15" hidden="1" customHeight="1" x14ac:dyDescent="0.25">
      <c r="A62" s="597"/>
      <c r="B62" s="597"/>
      <c r="C62" s="598"/>
      <c r="D62" s="599"/>
      <c r="E62" s="598"/>
      <c r="F62" s="599"/>
      <c r="G62" s="598">
        <f t="shared" si="2"/>
        <v>0</v>
      </c>
      <c r="H62" s="599">
        <f t="shared" si="2"/>
        <v>0</v>
      </c>
      <c r="I62" s="599"/>
      <c r="J62" s="599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>
        <f t="shared" si="1"/>
        <v>0</v>
      </c>
    </row>
    <row r="63" spans="1:26" ht="15" hidden="1" customHeight="1" x14ac:dyDescent="0.25">
      <c r="A63" s="597"/>
      <c r="B63" s="597"/>
      <c r="C63" s="598"/>
      <c r="D63" s="599"/>
      <c r="E63" s="598"/>
      <c r="F63" s="599"/>
      <c r="G63" s="598">
        <f t="shared" si="2"/>
        <v>0</v>
      </c>
      <c r="H63" s="599">
        <f t="shared" si="2"/>
        <v>0</v>
      </c>
      <c r="I63" s="599"/>
      <c r="J63" s="599"/>
      <c r="K63" s="598"/>
      <c r="L63" s="598"/>
      <c r="M63" s="598"/>
      <c r="N63" s="598"/>
      <c r="O63" s="598"/>
      <c r="P63" s="598"/>
      <c r="Q63" s="598"/>
      <c r="R63" s="598"/>
      <c r="S63" s="598"/>
      <c r="T63" s="598"/>
      <c r="U63" s="598"/>
      <c r="V63" s="598"/>
      <c r="W63" s="598"/>
      <c r="X63" s="598"/>
      <c r="Y63" s="598"/>
      <c r="Z63" s="598">
        <f t="shared" si="1"/>
        <v>0</v>
      </c>
    </row>
    <row r="64" spans="1:26" ht="15" hidden="1" customHeight="1" x14ac:dyDescent="0.25">
      <c r="A64" s="597"/>
      <c r="B64" s="597"/>
      <c r="C64" s="598"/>
      <c r="D64" s="599"/>
      <c r="E64" s="598"/>
      <c r="F64" s="599"/>
      <c r="G64" s="598">
        <f t="shared" si="2"/>
        <v>0</v>
      </c>
      <c r="H64" s="599">
        <f t="shared" si="2"/>
        <v>0</v>
      </c>
      <c r="I64" s="599"/>
      <c r="J64" s="599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598"/>
      <c r="X64" s="598"/>
      <c r="Y64" s="598"/>
      <c r="Z64" s="598">
        <f t="shared" si="1"/>
        <v>0</v>
      </c>
    </row>
    <row r="65" spans="1:26" ht="15" hidden="1" customHeight="1" x14ac:dyDescent="0.25">
      <c r="A65" s="597"/>
      <c r="B65" s="597"/>
      <c r="C65" s="598"/>
      <c r="D65" s="599"/>
      <c r="E65" s="598"/>
      <c r="F65" s="599"/>
      <c r="G65" s="598">
        <f t="shared" si="2"/>
        <v>0</v>
      </c>
      <c r="H65" s="599">
        <f t="shared" si="2"/>
        <v>0</v>
      </c>
      <c r="I65" s="599"/>
      <c r="J65" s="599"/>
      <c r="K65" s="598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>
        <f t="shared" si="1"/>
        <v>0</v>
      </c>
    </row>
    <row r="66" spans="1:26" ht="15" hidden="1" customHeight="1" x14ac:dyDescent="0.25">
      <c r="A66" s="597"/>
      <c r="B66" s="597"/>
      <c r="C66" s="598"/>
      <c r="D66" s="599"/>
      <c r="E66" s="598"/>
      <c r="F66" s="599"/>
      <c r="G66" s="598">
        <f t="shared" si="2"/>
        <v>0</v>
      </c>
      <c r="H66" s="599">
        <f t="shared" si="2"/>
        <v>0</v>
      </c>
      <c r="I66" s="599"/>
      <c r="J66" s="599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>
        <f t="shared" si="1"/>
        <v>0</v>
      </c>
    </row>
    <row r="67" spans="1:26" ht="15" hidden="1" customHeight="1" x14ac:dyDescent="0.25">
      <c r="A67" s="597"/>
      <c r="B67" s="597"/>
      <c r="C67" s="598"/>
      <c r="D67" s="599"/>
      <c r="E67" s="598"/>
      <c r="F67" s="599"/>
      <c r="G67" s="598">
        <f t="shared" si="2"/>
        <v>0</v>
      </c>
      <c r="H67" s="599">
        <f t="shared" si="2"/>
        <v>0</v>
      </c>
      <c r="I67" s="599"/>
      <c r="J67" s="599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>
        <f t="shared" si="1"/>
        <v>0</v>
      </c>
    </row>
    <row r="68" spans="1:26" ht="15" hidden="1" customHeight="1" x14ac:dyDescent="0.25">
      <c r="A68" s="597"/>
      <c r="B68" s="597"/>
      <c r="C68" s="598"/>
      <c r="D68" s="599"/>
      <c r="E68" s="598"/>
      <c r="F68" s="599"/>
      <c r="G68" s="598">
        <f t="shared" ref="G68:H82" si="3">E68-C68</f>
        <v>0</v>
      </c>
      <c r="H68" s="599">
        <f t="shared" si="3"/>
        <v>0</v>
      </c>
      <c r="I68" s="599"/>
      <c r="J68" s="599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>
        <f t="shared" ref="Z68:Z82" si="4">SUM(K68:Y68)</f>
        <v>0</v>
      </c>
    </row>
    <row r="69" spans="1:26" ht="15" hidden="1" customHeight="1" x14ac:dyDescent="0.25">
      <c r="A69" s="597"/>
      <c r="B69" s="597"/>
      <c r="C69" s="598"/>
      <c r="D69" s="599"/>
      <c r="E69" s="598"/>
      <c r="F69" s="599"/>
      <c r="G69" s="598">
        <f t="shared" si="3"/>
        <v>0</v>
      </c>
      <c r="H69" s="599">
        <f t="shared" si="3"/>
        <v>0</v>
      </c>
      <c r="I69" s="599"/>
      <c r="J69" s="599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8"/>
      <c r="X69" s="598"/>
      <c r="Y69" s="598"/>
      <c r="Z69" s="598">
        <f t="shared" si="4"/>
        <v>0</v>
      </c>
    </row>
    <row r="70" spans="1:26" ht="15" hidden="1" customHeight="1" x14ac:dyDescent="0.25">
      <c r="A70" s="597"/>
      <c r="B70" s="597"/>
      <c r="C70" s="598"/>
      <c r="D70" s="599"/>
      <c r="E70" s="598"/>
      <c r="F70" s="599"/>
      <c r="G70" s="598">
        <f t="shared" si="3"/>
        <v>0</v>
      </c>
      <c r="H70" s="599">
        <f t="shared" si="3"/>
        <v>0</v>
      </c>
      <c r="I70" s="599"/>
      <c r="J70" s="599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598"/>
      <c r="V70" s="598"/>
      <c r="W70" s="598"/>
      <c r="X70" s="598"/>
      <c r="Y70" s="598"/>
      <c r="Z70" s="598">
        <f t="shared" si="4"/>
        <v>0</v>
      </c>
    </row>
    <row r="71" spans="1:26" ht="15" hidden="1" customHeight="1" x14ac:dyDescent="0.25">
      <c r="A71" s="597"/>
      <c r="B71" s="597"/>
      <c r="C71" s="598"/>
      <c r="D71" s="599"/>
      <c r="E71" s="598"/>
      <c r="F71" s="599"/>
      <c r="G71" s="598">
        <f t="shared" si="3"/>
        <v>0</v>
      </c>
      <c r="H71" s="599">
        <f t="shared" si="3"/>
        <v>0</v>
      </c>
      <c r="I71" s="599"/>
      <c r="J71" s="599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>
        <f t="shared" si="4"/>
        <v>0</v>
      </c>
    </row>
    <row r="72" spans="1:26" ht="15" hidden="1" customHeight="1" x14ac:dyDescent="0.25">
      <c r="A72" s="602"/>
      <c r="B72" s="597"/>
      <c r="C72" s="598"/>
      <c r="D72" s="599"/>
      <c r="E72" s="598"/>
      <c r="F72" s="599"/>
      <c r="G72" s="598">
        <f t="shared" si="3"/>
        <v>0</v>
      </c>
      <c r="H72" s="599">
        <f t="shared" si="3"/>
        <v>0</v>
      </c>
      <c r="I72" s="599"/>
      <c r="J72" s="599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>
        <f t="shared" si="4"/>
        <v>0</v>
      </c>
    </row>
    <row r="73" spans="1:26" ht="15" hidden="1" customHeight="1" x14ac:dyDescent="0.25">
      <c r="A73" s="597"/>
      <c r="B73" s="597"/>
      <c r="C73" s="598"/>
      <c r="D73" s="599"/>
      <c r="E73" s="598"/>
      <c r="F73" s="599"/>
      <c r="G73" s="598">
        <f t="shared" si="3"/>
        <v>0</v>
      </c>
      <c r="H73" s="599">
        <f t="shared" si="3"/>
        <v>0</v>
      </c>
      <c r="I73" s="599"/>
      <c r="J73" s="599"/>
      <c r="K73" s="598"/>
      <c r="L73" s="598"/>
      <c r="M73" s="598"/>
      <c r="N73" s="598"/>
      <c r="O73" s="598"/>
      <c r="P73" s="598"/>
      <c r="Q73" s="598"/>
      <c r="R73" s="598"/>
      <c r="S73" s="598"/>
      <c r="T73" s="598"/>
      <c r="U73" s="598"/>
      <c r="V73" s="598"/>
      <c r="W73" s="598"/>
      <c r="X73" s="598"/>
      <c r="Y73" s="598"/>
      <c r="Z73" s="598">
        <f t="shared" si="4"/>
        <v>0</v>
      </c>
    </row>
    <row r="74" spans="1:26" ht="15" hidden="1" customHeight="1" x14ac:dyDescent="0.25">
      <c r="A74" s="602"/>
      <c r="B74" s="597"/>
      <c r="C74" s="598"/>
      <c r="D74" s="599"/>
      <c r="E74" s="598"/>
      <c r="F74" s="599"/>
      <c r="G74" s="598">
        <f t="shared" si="3"/>
        <v>0</v>
      </c>
      <c r="H74" s="599">
        <f t="shared" si="3"/>
        <v>0</v>
      </c>
      <c r="I74" s="599"/>
      <c r="J74" s="599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8"/>
      <c r="X74" s="598"/>
      <c r="Y74" s="598"/>
      <c r="Z74" s="598">
        <f t="shared" si="4"/>
        <v>0</v>
      </c>
    </row>
    <row r="75" spans="1:26" ht="15" hidden="1" customHeight="1" x14ac:dyDescent="0.25">
      <c r="A75" s="597"/>
      <c r="B75" s="597"/>
      <c r="C75" s="598"/>
      <c r="D75" s="599"/>
      <c r="E75" s="598"/>
      <c r="F75" s="599"/>
      <c r="G75" s="598">
        <f t="shared" si="3"/>
        <v>0</v>
      </c>
      <c r="H75" s="599">
        <f t="shared" si="3"/>
        <v>0</v>
      </c>
      <c r="I75" s="599"/>
      <c r="J75" s="599"/>
      <c r="K75" s="598"/>
      <c r="L75" s="598"/>
      <c r="M75" s="598"/>
      <c r="N75" s="598"/>
      <c r="O75" s="598"/>
      <c r="P75" s="598"/>
      <c r="Q75" s="598"/>
      <c r="R75" s="598"/>
      <c r="S75" s="598"/>
      <c r="T75" s="598"/>
      <c r="U75" s="598"/>
      <c r="V75" s="598"/>
      <c r="W75" s="598"/>
      <c r="X75" s="598"/>
      <c r="Y75" s="598"/>
      <c r="Z75" s="598">
        <f t="shared" si="4"/>
        <v>0</v>
      </c>
    </row>
    <row r="76" spans="1:26" ht="15" hidden="1" customHeight="1" x14ac:dyDescent="0.25">
      <c r="A76" s="603"/>
      <c r="B76" s="597"/>
      <c r="C76" s="598"/>
      <c r="D76" s="599"/>
      <c r="E76" s="598"/>
      <c r="F76" s="599"/>
      <c r="G76" s="598">
        <f t="shared" si="3"/>
        <v>0</v>
      </c>
      <c r="H76" s="599">
        <f t="shared" si="3"/>
        <v>0</v>
      </c>
      <c r="I76" s="599"/>
      <c r="J76" s="599"/>
      <c r="K76" s="598"/>
      <c r="L76" s="598"/>
      <c r="M76" s="598"/>
      <c r="N76" s="598"/>
      <c r="O76" s="598"/>
      <c r="P76" s="598"/>
      <c r="Q76" s="598"/>
      <c r="R76" s="598"/>
      <c r="S76" s="598"/>
      <c r="T76" s="598"/>
      <c r="U76" s="598"/>
      <c r="V76" s="598"/>
      <c r="W76" s="598"/>
      <c r="X76" s="598"/>
      <c r="Y76" s="598"/>
      <c r="Z76" s="598">
        <f t="shared" si="4"/>
        <v>0</v>
      </c>
    </row>
    <row r="77" spans="1:26" ht="15" hidden="1" customHeight="1" x14ac:dyDescent="0.25">
      <c r="A77" s="597"/>
      <c r="B77" s="597"/>
      <c r="C77" s="598"/>
      <c r="D77" s="599"/>
      <c r="E77" s="598"/>
      <c r="F77" s="599"/>
      <c r="G77" s="598">
        <f t="shared" si="3"/>
        <v>0</v>
      </c>
      <c r="H77" s="599">
        <f t="shared" si="3"/>
        <v>0</v>
      </c>
      <c r="I77" s="599"/>
      <c r="J77" s="599"/>
      <c r="K77" s="598"/>
      <c r="L77" s="598"/>
      <c r="M77" s="598"/>
      <c r="N77" s="598"/>
      <c r="O77" s="598"/>
      <c r="P77" s="598"/>
      <c r="Q77" s="598"/>
      <c r="R77" s="598"/>
      <c r="S77" s="598"/>
      <c r="T77" s="598"/>
      <c r="U77" s="598"/>
      <c r="V77" s="598"/>
      <c r="W77" s="598"/>
      <c r="X77" s="598"/>
      <c r="Y77" s="598"/>
      <c r="Z77" s="598">
        <f t="shared" si="4"/>
        <v>0</v>
      </c>
    </row>
    <row r="78" spans="1:26" ht="15" hidden="1" customHeight="1" x14ac:dyDescent="0.25">
      <c r="A78" s="597"/>
      <c r="B78" s="597"/>
      <c r="C78" s="598"/>
      <c r="D78" s="599"/>
      <c r="E78" s="598"/>
      <c r="F78" s="599"/>
      <c r="G78" s="598">
        <f t="shared" si="3"/>
        <v>0</v>
      </c>
      <c r="H78" s="599">
        <f t="shared" si="3"/>
        <v>0</v>
      </c>
      <c r="I78" s="599"/>
      <c r="J78" s="599"/>
      <c r="K78" s="598"/>
      <c r="L78" s="598"/>
      <c r="M78" s="598"/>
      <c r="N78" s="598"/>
      <c r="O78" s="598"/>
      <c r="P78" s="598"/>
      <c r="Q78" s="598"/>
      <c r="R78" s="598"/>
      <c r="S78" s="598"/>
      <c r="T78" s="598"/>
      <c r="U78" s="598"/>
      <c r="V78" s="598"/>
      <c r="W78" s="598"/>
      <c r="X78" s="598"/>
      <c r="Y78" s="598"/>
      <c r="Z78" s="598">
        <f t="shared" si="4"/>
        <v>0</v>
      </c>
    </row>
    <row r="79" spans="1:26" ht="15" hidden="1" customHeight="1" x14ac:dyDescent="0.25">
      <c r="A79" s="597"/>
      <c r="B79" s="597"/>
      <c r="C79" s="598"/>
      <c r="D79" s="599"/>
      <c r="E79" s="598"/>
      <c r="F79" s="599"/>
      <c r="G79" s="598">
        <f t="shared" si="3"/>
        <v>0</v>
      </c>
      <c r="H79" s="599">
        <f t="shared" si="3"/>
        <v>0</v>
      </c>
      <c r="I79" s="599"/>
      <c r="J79" s="599"/>
      <c r="K79" s="598"/>
      <c r="L79" s="598"/>
      <c r="M79" s="598"/>
      <c r="N79" s="598"/>
      <c r="O79" s="598"/>
      <c r="P79" s="598"/>
      <c r="Q79" s="598"/>
      <c r="R79" s="598"/>
      <c r="S79" s="598"/>
      <c r="T79" s="598"/>
      <c r="U79" s="598"/>
      <c r="V79" s="598"/>
      <c r="W79" s="598"/>
      <c r="X79" s="598"/>
      <c r="Y79" s="598"/>
      <c r="Z79" s="598">
        <f t="shared" si="4"/>
        <v>0</v>
      </c>
    </row>
    <row r="80" spans="1:26" ht="15" hidden="1" customHeight="1" x14ac:dyDescent="0.25">
      <c r="A80" s="597"/>
      <c r="B80" s="597"/>
      <c r="C80" s="597"/>
      <c r="D80" s="599"/>
      <c r="E80" s="598"/>
      <c r="F80" s="599"/>
      <c r="G80" s="598">
        <f t="shared" si="3"/>
        <v>0</v>
      </c>
      <c r="H80" s="599">
        <f t="shared" si="3"/>
        <v>0</v>
      </c>
      <c r="I80" s="599"/>
      <c r="J80" s="599"/>
      <c r="K80" s="598"/>
      <c r="L80" s="598"/>
      <c r="M80" s="598"/>
      <c r="N80" s="598"/>
      <c r="O80" s="598"/>
      <c r="P80" s="598"/>
      <c r="Q80" s="598"/>
      <c r="R80" s="598"/>
      <c r="S80" s="598"/>
      <c r="T80" s="598"/>
      <c r="U80" s="598"/>
      <c r="V80" s="598"/>
      <c r="W80" s="598"/>
      <c r="X80" s="598"/>
      <c r="Y80" s="598"/>
      <c r="Z80" s="598">
        <f t="shared" si="4"/>
        <v>0</v>
      </c>
    </row>
    <row r="81" spans="1:26" ht="15" hidden="1" customHeight="1" x14ac:dyDescent="0.25">
      <c r="A81" s="597"/>
      <c r="B81" s="597"/>
      <c r="C81" s="597"/>
      <c r="D81" s="599"/>
      <c r="E81" s="598"/>
      <c r="F81" s="599"/>
      <c r="G81" s="598">
        <f t="shared" si="3"/>
        <v>0</v>
      </c>
      <c r="H81" s="599">
        <f t="shared" si="3"/>
        <v>0</v>
      </c>
      <c r="I81" s="599"/>
      <c r="J81" s="599"/>
      <c r="K81" s="598"/>
      <c r="L81" s="598"/>
      <c r="M81" s="598"/>
      <c r="N81" s="598"/>
      <c r="O81" s="598"/>
      <c r="P81" s="598"/>
      <c r="Q81" s="598"/>
      <c r="R81" s="598"/>
      <c r="S81" s="598"/>
      <c r="T81" s="598"/>
      <c r="U81" s="598"/>
      <c r="V81" s="598"/>
      <c r="W81" s="598"/>
      <c r="X81" s="598"/>
      <c r="Y81" s="598"/>
      <c r="Z81" s="598">
        <f t="shared" si="4"/>
        <v>0</v>
      </c>
    </row>
    <row r="82" spans="1:26" ht="15" customHeight="1" x14ac:dyDescent="0.25">
      <c r="A82" s="598"/>
      <c r="B82" s="598"/>
      <c r="C82" s="598"/>
      <c r="D82" s="599"/>
      <c r="E82" s="598"/>
      <c r="F82" s="599"/>
      <c r="G82" s="598">
        <f t="shared" si="3"/>
        <v>0</v>
      </c>
      <c r="H82" s="599">
        <f t="shared" si="3"/>
        <v>0</v>
      </c>
      <c r="I82" s="599"/>
      <c r="J82" s="599"/>
      <c r="K82" s="598"/>
      <c r="L82" s="598"/>
      <c r="M82" s="598"/>
      <c r="N82" s="598"/>
      <c r="O82" s="598"/>
      <c r="P82" s="598"/>
      <c r="Q82" s="598"/>
      <c r="R82" s="598"/>
      <c r="S82" s="598"/>
      <c r="T82" s="598"/>
      <c r="U82" s="598"/>
      <c r="V82" s="598"/>
      <c r="W82" s="598"/>
      <c r="X82" s="598"/>
      <c r="Y82" s="598"/>
      <c r="Z82" s="598">
        <f t="shared" si="4"/>
        <v>0</v>
      </c>
    </row>
    <row r="83" spans="1:26" ht="15" customHeight="1" x14ac:dyDescent="0.25">
      <c r="A83" s="604" t="s">
        <v>1221</v>
      </c>
      <c r="B83" s="605"/>
      <c r="C83" s="606">
        <f t="shared" ref="C83:Z83" si="5">SUM(C5:C82)</f>
        <v>165</v>
      </c>
      <c r="D83" s="607">
        <f t="shared" si="5"/>
        <v>240661.35</v>
      </c>
      <c r="E83" s="606">
        <f t="shared" si="5"/>
        <v>165</v>
      </c>
      <c r="F83" s="607">
        <f t="shared" si="5"/>
        <v>253252.34999999998</v>
      </c>
      <c r="G83" s="606">
        <f t="shared" si="5"/>
        <v>0</v>
      </c>
      <c r="H83" s="607">
        <f t="shared" si="5"/>
        <v>12591</v>
      </c>
      <c r="I83" s="608">
        <f t="shared" si="5"/>
        <v>0</v>
      </c>
      <c r="J83" s="606">
        <f t="shared" si="5"/>
        <v>89148.360000000015</v>
      </c>
      <c r="K83" s="608">
        <f t="shared" si="5"/>
        <v>0</v>
      </c>
      <c r="L83" s="606">
        <f t="shared" si="5"/>
        <v>0</v>
      </c>
      <c r="M83" s="606">
        <f t="shared" si="5"/>
        <v>0</v>
      </c>
      <c r="N83" s="606">
        <f t="shared" si="5"/>
        <v>0</v>
      </c>
      <c r="O83" s="606">
        <f t="shared" si="5"/>
        <v>0</v>
      </c>
      <c r="P83" s="606">
        <f t="shared" si="5"/>
        <v>0</v>
      </c>
      <c r="Q83" s="606">
        <f t="shared" si="5"/>
        <v>0</v>
      </c>
      <c r="R83" s="606">
        <f t="shared" si="5"/>
        <v>0</v>
      </c>
      <c r="S83" s="606">
        <f t="shared" si="5"/>
        <v>0</v>
      </c>
      <c r="T83" s="606">
        <f t="shared" si="5"/>
        <v>0</v>
      </c>
      <c r="U83" s="606">
        <f t="shared" si="5"/>
        <v>0</v>
      </c>
      <c r="V83" s="606">
        <f t="shared" si="5"/>
        <v>0</v>
      </c>
      <c r="W83" s="606">
        <f t="shared" si="5"/>
        <v>0</v>
      </c>
      <c r="X83" s="606">
        <f t="shared" si="5"/>
        <v>0</v>
      </c>
      <c r="Y83" s="606">
        <f t="shared" si="5"/>
        <v>0</v>
      </c>
      <c r="Z83" s="606">
        <f t="shared" si="5"/>
        <v>0</v>
      </c>
    </row>
    <row r="85" spans="1:26" x14ac:dyDescent="0.25">
      <c r="A85" s="741" t="s">
        <v>1227</v>
      </c>
      <c r="B85" s="741"/>
    </row>
    <row r="86" spans="1:26" ht="30" x14ac:dyDescent="0.25">
      <c r="A86" s="609" t="s">
        <v>1</v>
      </c>
      <c r="B86" s="609"/>
      <c r="C86" s="610" t="s">
        <v>1222</v>
      </c>
      <c r="D86" s="610" t="s">
        <v>1223</v>
      </c>
      <c r="E86" s="610" t="s">
        <v>392</v>
      </c>
      <c r="F86" s="611" t="s">
        <v>2</v>
      </c>
      <c r="G86" s="612" t="s">
        <v>1225</v>
      </c>
      <c r="H86" s="613" t="s">
        <v>1224</v>
      </c>
      <c r="I86" s="613" t="s">
        <v>1498</v>
      </c>
      <c r="J86" s="613" t="s">
        <v>94</v>
      </c>
      <c r="K86" s="614" t="s">
        <v>681</v>
      </c>
      <c r="L86" s="614" t="s">
        <v>1496</v>
      </c>
      <c r="M86" s="614" t="s">
        <v>1497</v>
      </c>
      <c r="N86" s="614" t="s">
        <v>682</v>
      </c>
      <c r="O86" s="614" t="s">
        <v>683</v>
      </c>
      <c r="P86" s="614" t="s">
        <v>87</v>
      </c>
      <c r="Q86" s="614" t="s">
        <v>684</v>
      </c>
      <c r="R86" s="614" t="s">
        <v>685</v>
      </c>
      <c r="S86" s="614" t="s">
        <v>690</v>
      </c>
      <c r="T86" s="614" t="s">
        <v>686</v>
      </c>
      <c r="U86" s="614" t="s">
        <v>687</v>
      </c>
      <c r="V86" s="614" t="s">
        <v>688</v>
      </c>
      <c r="W86" s="614" t="s">
        <v>689</v>
      </c>
      <c r="X86" s="614" t="s">
        <v>138</v>
      </c>
      <c r="Y86" s="614" t="s">
        <v>1385</v>
      </c>
      <c r="Z86" s="614" t="s">
        <v>1238</v>
      </c>
    </row>
    <row r="87" spans="1:26" ht="15" customHeight="1" x14ac:dyDescent="0.25">
      <c r="A87" s="566" t="s">
        <v>1836</v>
      </c>
      <c r="B87" s="496" t="s">
        <v>61</v>
      </c>
      <c r="C87" s="616">
        <v>42978</v>
      </c>
      <c r="D87" s="617">
        <v>43010</v>
      </c>
      <c r="E87" s="618">
        <v>33</v>
      </c>
      <c r="F87" s="617">
        <v>43006</v>
      </c>
      <c r="G87" s="618">
        <v>2</v>
      </c>
      <c r="H87" s="654">
        <v>3386</v>
      </c>
      <c r="I87" s="619">
        <v>0</v>
      </c>
      <c r="J87" s="619">
        <v>1354</v>
      </c>
      <c r="K87" s="615"/>
      <c r="L87" s="615"/>
      <c r="M87" s="615"/>
      <c r="N87" s="615"/>
      <c r="O87" s="615"/>
      <c r="P87" s="615">
        <v>1</v>
      </c>
      <c r="Q87" s="615">
        <v>1</v>
      </c>
      <c r="R87" s="615"/>
      <c r="S87" s="615"/>
      <c r="T87" s="615"/>
      <c r="U87" s="615"/>
      <c r="V87" s="615"/>
      <c r="W87" s="615"/>
      <c r="X87" s="615"/>
      <c r="Y87" s="615"/>
      <c r="Z87" s="615">
        <f t="shared" ref="Z87:Z95" si="6">SUM(K87:Y87)</f>
        <v>2</v>
      </c>
    </row>
    <row r="88" spans="1:26" ht="15" customHeight="1" x14ac:dyDescent="0.25">
      <c r="A88" s="601" t="s">
        <v>1828</v>
      </c>
      <c r="B88" s="615" t="s">
        <v>115</v>
      </c>
      <c r="C88" s="616">
        <v>42962</v>
      </c>
      <c r="D88" s="617">
        <v>43000</v>
      </c>
      <c r="E88" s="618">
        <v>37</v>
      </c>
      <c r="F88" s="617">
        <v>43000</v>
      </c>
      <c r="G88" s="618">
        <v>2</v>
      </c>
      <c r="H88" s="654">
        <v>3386</v>
      </c>
      <c r="I88" s="619">
        <v>2500</v>
      </c>
      <c r="J88" s="619">
        <v>1354</v>
      </c>
      <c r="K88" s="615"/>
      <c r="L88" s="615"/>
      <c r="M88" s="615"/>
      <c r="N88" s="615"/>
      <c r="O88" s="615"/>
      <c r="P88" s="615"/>
      <c r="Q88" s="615">
        <v>1</v>
      </c>
      <c r="R88" s="615"/>
      <c r="S88" s="615"/>
      <c r="T88" s="615"/>
      <c r="U88" s="615"/>
      <c r="V88" s="615">
        <v>1</v>
      </c>
      <c r="W88" s="615"/>
      <c r="X88" s="615"/>
      <c r="Y88" s="615"/>
      <c r="Z88" s="615">
        <f t="shared" si="6"/>
        <v>2</v>
      </c>
    </row>
    <row r="89" spans="1:26" ht="15" customHeight="1" x14ac:dyDescent="0.25">
      <c r="A89" s="600" t="s">
        <v>1830</v>
      </c>
      <c r="B89" s="598" t="s">
        <v>115</v>
      </c>
      <c r="C89" s="620">
        <v>42927</v>
      </c>
      <c r="D89" s="621">
        <v>43000</v>
      </c>
      <c r="E89" s="622">
        <v>71</v>
      </c>
      <c r="F89" s="621">
        <v>42998</v>
      </c>
      <c r="G89" s="622">
        <v>1</v>
      </c>
      <c r="H89" s="652">
        <v>1693</v>
      </c>
      <c r="I89" s="623">
        <v>5000</v>
      </c>
      <c r="J89" s="623">
        <v>677</v>
      </c>
      <c r="K89" s="598"/>
      <c r="L89" s="598"/>
      <c r="M89" s="598"/>
      <c r="N89" s="598"/>
      <c r="O89" s="598"/>
      <c r="P89" s="598">
        <v>1</v>
      </c>
      <c r="Q89" s="598"/>
      <c r="R89" s="598"/>
      <c r="S89" s="598"/>
      <c r="T89" s="598"/>
      <c r="U89" s="598"/>
      <c r="V89" s="598"/>
      <c r="W89" s="598"/>
      <c r="X89" s="598"/>
      <c r="Y89" s="598"/>
      <c r="Z89" s="615">
        <f t="shared" si="6"/>
        <v>1</v>
      </c>
    </row>
    <row r="90" spans="1:26" x14ac:dyDescent="0.25">
      <c r="A90" s="565" t="s">
        <v>1834</v>
      </c>
      <c r="B90" s="535" t="s">
        <v>115</v>
      </c>
      <c r="C90" s="620">
        <v>42999</v>
      </c>
      <c r="D90" s="621">
        <v>43008</v>
      </c>
      <c r="E90" s="622">
        <v>9</v>
      </c>
      <c r="F90" s="621">
        <v>43008</v>
      </c>
      <c r="G90" s="622">
        <v>2</v>
      </c>
      <c r="H90" s="652">
        <v>3386</v>
      </c>
      <c r="I90" s="623">
        <v>0</v>
      </c>
      <c r="J90" s="623">
        <v>1354</v>
      </c>
      <c r="K90" s="598"/>
      <c r="L90" s="598"/>
      <c r="M90" s="598"/>
      <c r="N90" s="598"/>
      <c r="O90" s="598"/>
      <c r="P90" s="598"/>
      <c r="Q90" s="598">
        <v>1</v>
      </c>
      <c r="R90" s="598"/>
      <c r="S90" s="598"/>
      <c r="T90" s="598"/>
      <c r="U90" s="598"/>
      <c r="V90" s="598">
        <v>1</v>
      </c>
      <c r="W90" s="598"/>
      <c r="X90" s="598"/>
      <c r="Y90" s="598"/>
      <c r="Z90" s="615">
        <f t="shared" si="6"/>
        <v>2</v>
      </c>
    </row>
    <row r="91" spans="1:26" ht="15" customHeight="1" x14ac:dyDescent="0.25">
      <c r="A91" s="565" t="s">
        <v>1835</v>
      </c>
      <c r="B91" s="535" t="s">
        <v>115</v>
      </c>
      <c r="C91" s="620">
        <v>42933</v>
      </c>
      <c r="D91" s="621">
        <v>43010</v>
      </c>
      <c r="E91" s="622">
        <v>75</v>
      </c>
      <c r="F91" s="621">
        <v>43003</v>
      </c>
      <c r="G91" s="622">
        <v>3</v>
      </c>
      <c r="H91" s="652">
        <v>5079</v>
      </c>
      <c r="I91" s="623">
        <v>5000</v>
      </c>
      <c r="J91" s="623">
        <v>2031</v>
      </c>
      <c r="K91" s="598">
        <v>1</v>
      </c>
      <c r="L91" s="598"/>
      <c r="M91" s="598"/>
      <c r="N91" s="598"/>
      <c r="O91" s="598"/>
      <c r="P91" s="598">
        <v>1</v>
      </c>
      <c r="Q91" s="598">
        <v>1</v>
      </c>
      <c r="R91" s="598"/>
      <c r="S91" s="598"/>
      <c r="T91" s="598"/>
      <c r="U91" s="598"/>
      <c r="V91" s="598"/>
      <c r="W91" s="598"/>
      <c r="X91" s="598"/>
      <c r="Y91" s="598"/>
      <c r="Z91" s="615">
        <f t="shared" si="6"/>
        <v>3</v>
      </c>
    </row>
    <row r="92" spans="1:26" ht="15" customHeight="1" x14ac:dyDescent="0.25">
      <c r="A92" s="563" t="s">
        <v>1837</v>
      </c>
      <c r="B92" s="535" t="s">
        <v>115</v>
      </c>
      <c r="C92" s="620">
        <v>42881</v>
      </c>
      <c r="D92" s="621">
        <v>43011</v>
      </c>
      <c r="E92" s="622">
        <v>157</v>
      </c>
      <c r="F92" s="621">
        <v>43007</v>
      </c>
      <c r="G92" s="622">
        <v>5</v>
      </c>
      <c r="H92" s="623">
        <v>8042</v>
      </c>
      <c r="I92" s="623">
        <v>3750</v>
      </c>
      <c r="J92" s="623">
        <v>3216</v>
      </c>
      <c r="K92" s="598">
        <v>1</v>
      </c>
      <c r="L92" s="598">
        <v>1</v>
      </c>
      <c r="M92" s="598"/>
      <c r="N92" s="598"/>
      <c r="O92" s="598"/>
      <c r="P92" s="598"/>
      <c r="Q92" s="598">
        <v>1</v>
      </c>
      <c r="R92" s="598"/>
      <c r="S92" s="598">
        <v>1</v>
      </c>
      <c r="T92" s="598">
        <v>1</v>
      </c>
      <c r="U92" s="598"/>
      <c r="V92" s="598"/>
      <c r="W92" s="598"/>
      <c r="X92" s="598"/>
      <c r="Y92" s="598"/>
      <c r="Z92" s="615">
        <f t="shared" si="6"/>
        <v>5</v>
      </c>
    </row>
    <row r="93" spans="1:26" ht="15" customHeight="1" x14ac:dyDescent="0.25">
      <c r="A93" s="563" t="s">
        <v>1838</v>
      </c>
      <c r="B93" s="535" t="s">
        <v>115</v>
      </c>
      <c r="C93" s="620">
        <v>42881</v>
      </c>
      <c r="D93" s="621">
        <v>43011</v>
      </c>
      <c r="E93" s="622">
        <v>157</v>
      </c>
      <c r="F93" s="621">
        <v>43007</v>
      </c>
      <c r="G93" s="622">
        <v>6</v>
      </c>
      <c r="H93" s="623">
        <v>9650</v>
      </c>
      <c r="I93" s="624">
        <v>3750</v>
      </c>
      <c r="J93" s="624">
        <v>3859</v>
      </c>
      <c r="K93" s="598">
        <v>1</v>
      </c>
      <c r="L93" s="598">
        <v>1</v>
      </c>
      <c r="M93" s="598"/>
      <c r="N93" s="598">
        <v>1</v>
      </c>
      <c r="O93" s="598"/>
      <c r="P93" s="598"/>
      <c r="Q93" s="598">
        <v>1</v>
      </c>
      <c r="R93" s="598"/>
      <c r="S93" s="598">
        <v>1</v>
      </c>
      <c r="T93" s="598">
        <v>1</v>
      </c>
      <c r="U93" s="598"/>
      <c r="V93" s="598"/>
      <c r="W93" s="598"/>
      <c r="X93" s="598"/>
      <c r="Y93" s="598"/>
      <c r="Z93" s="615">
        <f t="shared" si="6"/>
        <v>6</v>
      </c>
    </row>
    <row r="94" spans="1:26" ht="15" customHeight="1" x14ac:dyDescent="0.25">
      <c r="A94" s="563" t="s">
        <v>1839</v>
      </c>
      <c r="B94" s="535" t="s">
        <v>115</v>
      </c>
      <c r="C94" s="620">
        <v>42881</v>
      </c>
      <c r="D94" s="621">
        <v>43011</v>
      </c>
      <c r="E94" s="622">
        <v>157</v>
      </c>
      <c r="F94" s="621">
        <v>43007</v>
      </c>
      <c r="G94" s="622">
        <v>2</v>
      </c>
      <c r="H94" s="623">
        <v>3217</v>
      </c>
      <c r="I94" s="624">
        <v>3750</v>
      </c>
      <c r="J94" s="624">
        <v>1286</v>
      </c>
      <c r="K94" s="598"/>
      <c r="L94" s="598"/>
      <c r="M94" s="598"/>
      <c r="N94" s="598"/>
      <c r="O94" s="598"/>
      <c r="P94" s="598"/>
      <c r="Q94" s="598">
        <v>1</v>
      </c>
      <c r="R94" s="598"/>
      <c r="S94" s="598">
        <v>1</v>
      </c>
      <c r="T94" s="598"/>
      <c r="U94" s="598"/>
      <c r="V94" s="598"/>
      <c r="W94" s="598"/>
      <c r="X94" s="598"/>
      <c r="Y94" s="598"/>
      <c r="Z94" s="615">
        <f t="shared" si="6"/>
        <v>2</v>
      </c>
    </row>
    <row r="95" spans="1:26" ht="15" customHeight="1" x14ac:dyDescent="0.25">
      <c r="A95" s="563" t="s">
        <v>1840</v>
      </c>
      <c r="B95" s="535" t="s">
        <v>115</v>
      </c>
      <c r="C95" s="620">
        <v>42881</v>
      </c>
      <c r="D95" s="621">
        <v>43011</v>
      </c>
      <c r="E95" s="622">
        <v>157</v>
      </c>
      <c r="F95" s="621">
        <v>43007</v>
      </c>
      <c r="G95" s="622">
        <v>6</v>
      </c>
      <c r="H95" s="623">
        <v>9650</v>
      </c>
      <c r="I95" s="624">
        <v>3750</v>
      </c>
      <c r="J95" s="624">
        <v>3859</v>
      </c>
      <c r="K95" s="598">
        <v>1</v>
      </c>
      <c r="L95" s="598">
        <v>1</v>
      </c>
      <c r="M95" s="598"/>
      <c r="N95" s="598">
        <v>1</v>
      </c>
      <c r="O95" s="598"/>
      <c r="P95" s="598"/>
      <c r="Q95" s="598">
        <v>1</v>
      </c>
      <c r="R95" s="598"/>
      <c r="S95" s="598">
        <v>1</v>
      </c>
      <c r="T95" s="598">
        <v>1</v>
      </c>
      <c r="U95" s="598"/>
      <c r="V95" s="598"/>
      <c r="W95" s="598"/>
      <c r="X95" s="598"/>
      <c r="Y95" s="598"/>
      <c r="Z95" s="615">
        <f t="shared" si="6"/>
        <v>6</v>
      </c>
    </row>
    <row r="96" spans="1:26" ht="15" customHeight="1" x14ac:dyDescent="0.25">
      <c r="A96" s="604" t="s">
        <v>1226</v>
      </c>
      <c r="B96" s="605"/>
      <c r="C96" s="625"/>
      <c r="D96" s="626"/>
      <c r="E96" s="606"/>
      <c r="F96" s="626"/>
      <c r="G96" s="606">
        <f>SUM(G93:G94)</f>
        <v>8</v>
      </c>
      <c r="H96" s="608">
        <f>SUM(H87:H95)</f>
        <v>47489</v>
      </c>
      <c r="I96" s="608">
        <f>SUM(I87:I95)</f>
        <v>27500</v>
      </c>
      <c r="J96" s="608">
        <f>SUM(J87:J95)</f>
        <v>18990</v>
      </c>
      <c r="K96" s="606">
        <f>SUM(K87:K95)</f>
        <v>4</v>
      </c>
      <c r="L96" s="606">
        <f t="shared" ref="L96:Z96" si="7">SUM(L87:L95)</f>
        <v>3</v>
      </c>
      <c r="M96" s="606">
        <f t="shared" si="7"/>
        <v>0</v>
      </c>
      <c r="N96" s="606">
        <f t="shared" si="7"/>
        <v>2</v>
      </c>
      <c r="O96" s="606">
        <f t="shared" si="7"/>
        <v>0</v>
      </c>
      <c r="P96" s="606">
        <f t="shared" si="7"/>
        <v>3</v>
      </c>
      <c r="Q96" s="606">
        <f t="shared" si="7"/>
        <v>8</v>
      </c>
      <c r="R96" s="606">
        <f t="shared" si="7"/>
        <v>0</v>
      </c>
      <c r="S96" s="606">
        <f t="shared" si="7"/>
        <v>4</v>
      </c>
      <c r="T96" s="606">
        <f t="shared" si="7"/>
        <v>3</v>
      </c>
      <c r="U96" s="606">
        <f t="shared" si="7"/>
        <v>0</v>
      </c>
      <c r="V96" s="606">
        <f t="shared" si="7"/>
        <v>2</v>
      </c>
      <c r="W96" s="606">
        <f t="shared" si="7"/>
        <v>0</v>
      </c>
      <c r="X96" s="606">
        <f t="shared" si="7"/>
        <v>0</v>
      </c>
      <c r="Y96" s="606">
        <f t="shared" si="7"/>
        <v>0</v>
      </c>
      <c r="Z96" s="606">
        <f t="shared" si="7"/>
        <v>29</v>
      </c>
    </row>
    <row r="97" spans="1:26" ht="15" customHeight="1" x14ac:dyDescent="0.25">
      <c r="A97" s="627"/>
      <c r="B97" s="628"/>
      <c r="C97" s="628"/>
      <c r="D97" s="629"/>
      <c r="E97" s="628"/>
      <c r="F97" s="629"/>
      <c r="G97" s="630"/>
      <c r="H97" s="628"/>
      <c r="I97" s="628"/>
      <c r="J97" s="628"/>
    </row>
    <row r="98" spans="1:26" x14ac:dyDescent="0.25">
      <c r="A98" s="741" t="s">
        <v>1228</v>
      </c>
      <c r="B98" s="741"/>
      <c r="G98" s="631"/>
    </row>
    <row r="99" spans="1:26" ht="30" x14ac:dyDescent="0.25">
      <c r="A99" s="594" t="s">
        <v>1</v>
      </c>
      <c r="B99" s="594" t="s">
        <v>59</v>
      </c>
      <c r="C99" s="632" t="s">
        <v>1222</v>
      </c>
      <c r="D99" s="632" t="s">
        <v>1223</v>
      </c>
      <c r="E99" s="632" t="s">
        <v>392</v>
      </c>
      <c r="F99" s="633" t="s">
        <v>2</v>
      </c>
      <c r="G99" s="634" t="s">
        <v>1225</v>
      </c>
      <c r="H99" s="635" t="s">
        <v>1224</v>
      </c>
      <c r="I99" s="635" t="s">
        <v>1498</v>
      </c>
      <c r="J99" s="635" t="s">
        <v>94</v>
      </c>
      <c r="K99" s="595" t="s">
        <v>681</v>
      </c>
      <c r="L99" s="595" t="s">
        <v>1496</v>
      </c>
      <c r="M99" s="595" t="s">
        <v>1497</v>
      </c>
      <c r="N99" s="595" t="s">
        <v>682</v>
      </c>
      <c r="O99" s="595" t="s">
        <v>683</v>
      </c>
      <c r="P99" s="595" t="s">
        <v>87</v>
      </c>
      <c r="Q99" s="595" t="s">
        <v>684</v>
      </c>
      <c r="R99" s="595" t="s">
        <v>685</v>
      </c>
      <c r="S99" s="595" t="s">
        <v>690</v>
      </c>
      <c r="T99" s="595" t="s">
        <v>686</v>
      </c>
      <c r="U99" s="595" t="s">
        <v>687</v>
      </c>
      <c r="V99" s="595" t="s">
        <v>688</v>
      </c>
      <c r="W99" s="595" t="s">
        <v>689</v>
      </c>
      <c r="X99" s="595" t="s">
        <v>138</v>
      </c>
      <c r="Y99" s="595" t="s">
        <v>1385</v>
      </c>
      <c r="Z99" s="595" t="s">
        <v>1238</v>
      </c>
    </row>
    <row r="100" spans="1:26" ht="15" customHeight="1" x14ac:dyDescent="0.25">
      <c r="A100" s="600" t="s">
        <v>300</v>
      </c>
      <c r="B100" s="598" t="s">
        <v>115</v>
      </c>
      <c r="C100" s="620">
        <v>42923</v>
      </c>
      <c r="D100" s="621">
        <v>42955</v>
      </c>
      <c r="E100" s="622">
        <v>32</v>
      </c>
      <c r="F100" s="621">
        <v>42979</v>
      </c>
      <c r="G100" s="622">
        <v>1</v>
      </c>
      <c r="H100" s="652">
        <v>1643</v>
      </c>
      <c r="I100" s="623">
        <v>0</v>
      </c>
      <c r="J100" s="623">
        <v>657</v>
      </c>
      <c r="K100" s="598"/>
      <c r="L100" s="598"/>
      <c r="M100" s="598"/>
      <c r="N100" s="598"/>
      <c r="O100" s="598"/>
      <c r="P100" s="598">
        <v>1</v>
      </c>
      <c r="Q100" s="598"/>
      <c r="R100" s="598"/>
      <c r="S100" s="598"/>
      <c r="T100" s="598"/>
      <c r="U100" s="598"/>
      <c r="V100" s="598"/>
      <c r="W100" s="598"/>
      <c r="X100" s="598"/>
      <c r="Y100" s="598"/>
      <c r="Z100" s="598">
        <f>SUM(K100:Y100)</f>
        <v>1</v>
      </c>
    </row>
    <row r="101" spans="1:26" s="637" customFormat="1" ht="15" customHeight="1" x14ac:dyDescent="0.25">
      <c r="A101" s="600" t="s">
        <v>1827</v>
      </c>
      <c r="B101" s="598" t="s">
        <v>115</v>
      </c>
      <c r="C101" s="620">
        <v>42835</v>
      </c>
      <c r="D101" s="621">
        <v>42979</v>
      </c>
      <c r="E101" s="622">
        <v>140</v>
      </c>
      <c r="F101" s="621">
        <v>42979</v>
      </c>
      <c r="G101" s="622">
        <v>1</v>
      </c>
      <c r="H101" s="652">
        <v>2003</v>
      </c>
      <c r="I101" s="623">
        <v>0</v>
      </c>
      <c r="J101" s="623">
        <v>801</v>
      </c>
      <c r="K101" s="598"/>
      <c r="L101" s="598"/>
      <c r="M101" s="598"/>
      <c r="N101" s="598"/>
      <c r="O101" s="598"/>
      <c r="P101" s="598">
        <v>1</v>
      </c>
      <c r="Q101" s="598"/>
      <c r="R101" s="598"/>
      <c r="S101" s="598"/>
      <c r="T101" s="598"/>
      <c r="U101" s="598"/>
      <c r="V101" s="598"/>
      <c r="W101" s="598"/>
      <c r="X101" s="598"/>
      <c r="Y101" s="636"/>
      <c r="Z101" s="598">
        <f t="shared" ref="Z101:Z102" si="8">SUM(K101:Y101)</f>
        <v>1</v>
      </c>
    </row>
    <row r="102" spans="1:26" s="637" customFormat="1" ht="15" customHeight="1" x14ac:dyDescent="0.25">
      <c r="A102" s="538" t="s">
        <v>1832</v>
      </c>
      <c r="B102" s="535" t="s">
        <v>115</v>
      </c>
      <c r="C102" s="620">
        <v>42935</v>
      </c>
      <c r="D102" s="621">
        <v>43010</v>
      </c>
      <c r="E102" s="622">
        <v>73</v>
      </c>
      <c r="F102" s="621">
        <v>42997</v>
      </c>
      <c r="G102" s="622">
        <v>2</v>
      </c>
      <c r="H102" s="652">
        <v>3286</v>
      </c>
      <c r="I102" s="623">
        <v>0</v>
      </c>
      <c r="J102" s="623">
        <v>657</v>
      </c>
      <c r="K102" s="598"/>
      <c r="L102" s="598"/>
      <c r="M102" s="598"/>
      <c r="N102" s="598">
        <v>1</v>
      </c>
      <c r="O102" s="598"/>
      <c r="P102" s="598"/>
      <c r="Q102" s="598"/>
      <c r="R102" s="598">
        <v>1</v>
      </c>
      <c r="S102" s="598"/>
      <c r="T102" s="598"/>
      <c r="U102" s="598"/>
      <c r="V102" s="598"/>
      <c r="W102" s="598"/>
      <c r="X102" s="598"/>
      <c r="Y102" s="636"/>
      <c r="Z102" s="598">
        <f t="shared" si="8"/>
        <v>2</v>
      </c>
    </row>
    <row r="103" spans="1:26" s="637" customFormat="1" ht="15" customHeight="1" x14ac:dyDescent="0.25">
      <c r="A103" s="603"/>
      <c r="B103" s="598"/>
      <c r="C103" s="620"/>
      <c r="D103" s="621"/>
      <c r="E103" s="622"/>
      <c r="F103" s="621"/>
      <c r="G103" s="622"/>
      <c r="H103" s="623"/>
      <c r="I103" s="623"/>
      <c r="J103" s="623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598"/>
      <c r="X103" s="598"/>
      <c r="Y103" s="636"/>
      <c r="Z103" s="598"/>
    </row>
    <row r="104" spans="1:26" s="637" customFormat="1" ht="15" customHeight="1" x14ac:dyDescent="0.25">
      <c r="A104" s="603"/>
      <c r="B104" s="598"/>
      <c r="C104" s="620"/>
      <c r="D104" s="621"/>
      <c r="E104" s="622"/>
      <c r="F104" s="621"/>
      <c r="G104" s="622"/>
      <c r="H104" s="623"/>
      <c r="I104" s="623"/>
      <c r="J104" s="623"/>
      <c r="K104" s="598"/>
      <c r="L104" s="598"/>
      <c r="M104" s="598"/>
      <c r="N104" s="598"/>
      <c r="O104" s="598"/>
      <c r="P104" s="598"/>
      <c r="Q104" s="598"/>
      <c r="R104" s="598"/>
      <c r="S104" s="598"/>
      <c r="T104" s="598"/>
      <c r="U104" s="598"/>
      <c r="V104" s="598"/>
      <c r="W104" s="598"/>
      <c r="X104" s="598"/>
      <c r="Y104" s="636"/>
      <c r="Z104" s="598"/>
    </row>
    <row r="105" spans="1:26" s="637" customFormat="1" ht="15" customHeight="1" x14ac:dyDescent="0.25">
      <c r="A105" s="603"/>
      <c r="B105" s="598"/>
      <c r="C105" s="620"/>
      <c r="D105" s="621"/>
      <c r="E105" s="622"/>
      <c r="F105" s="621"/>
      <c r="G105" s="622"/>
      <c r="H105" s="623"/>
      <c r="I105" s="623"/>
      <c r="J105" s="623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636"/>
      <c r="Z105" s="598"/>
    </row>
    <row r="106" spans="1:26" s="637" customFormat="1" ht="15" customHeight="1" x14ac:dyDescent="0.25">
      <c r="A106" s="638"/>
      <c r="B106" s="636"/>
      <c r="C106" s="639"/>
      <c r="D106" s="640"/>
      <c r="E106" s="641"/>
      <c r="F106" s="640"/>
      <c r="G106" s="641"/>
      <c r="H106" s="624"/>
      <c r="I106" s="624"/>
      <c r="J106" s="624"/>
      <c r="K106" s="636"/>
      <c r="L106" s="636"/>
      <c r="M106" s="636"/>
      <c r="N106" s="636"/>
      <c r="O106" s="636"/>
      <c r="P106" s="636"/>
      <c r="Q106" s="636"/>
      <c r="R106" s="636"/>
      <c r="S106" s="636"/>
      <c r="T106" s="636"/>
      <c r="U106" s="636"/>
      <c r="V106" s="636"/>
      <c r="W106" s="636"/>
      <c r="X106" s="636"/>
      <c r="Y106" s="636"/>
      <c r="Z106" s="598"/>
    </row>
    <row r="107" spans="1:26" s="637" customFormat="1" ht="15" customHeight="1" x14ac:dyDescent="0.25">
      <c r="A107" s="638"/>
      <c r="B107" s="636"/>
      <c r="C107" s="639"/>
      <c r="D107" s="640"/>
      <c r="E107" s="641"/>
      <c r="F107" s="640"/>
      <c r="G107" s="641"/>
      <c r="H107" s="624"/>
      <c r="I107" s="624"/>
      <c r="J107" s="624"/>
      <c r="K107" s="636"/>
      <c r="L107" s="636"/>
      <c r="M107" s="636"/>
      <c r="N107" s="636"/>
      <c r="O107" s="636"/>
      <c r="P107" s="636"/>
      <c r="Q107" s="636"/>
      <c r="R107" s="636"/>
      <c r="S107" s="636"/>
      <c r="T107" s="636"/>
      <c r="U107" s="636"/>
      <c r="V107" s="636"/>
      <c r="W107" s="636"/>
      <c r="X107" s="636"/>
      <c r="Y107" s="636"/>
      <c r="Z107" s="598"/>
    </row>
    <row r="108" spans="1:26" ht="15" customHeight="1" x14ac:dyDescent="0.25">
      <c r="A108" s="604" t="s">
        <v>550</v>
      </c>
      <c r="B108" s="605"/>
      <c r="C108" s="625"/>
      <c r="D108" s="626"/>
      <c r="E108" s="606"/>
      <c r="F108" s="626"/>
      <c r="G108" s="606">
        <f t="shared" ref="G108:Z108" si="9">SUM(G100:G107)</f>
        <v>4</v>
      </c>
      <c r="H108" s="608">
        <f t="shared" si="9"/>
        <v>6932</v>
      </c>
      <c r="I108" s="608">
        <f>SUM(I100:I107)</f>
        <v>0</v>
      </c>
      <c r="J108" s="608">
        <f>SUM(J100:J107)</f>
        <v>2115</v>
      </c>
      <c r="K108" s="606">
        <f t="shared" si="9"/>
        <v>0</v>
      </c>
      <c r="L108" s="606">
        <f t="shared" si="9"/>
        <v>0</v>
      </c>
      <c r="M108" s="606">
        <f t="shared" si="9"/>
        <v>0</v>
      </c>
      <c r="N108" s="606">
        <f t="shared" si="9"/>
        <v>1</v>
      </c>
      <c r="O108" s="606">
        <f t="shared" si="9"/>
        <v>0</v>
      </c>
      <c r="P108" s="606">
        <f t="shared" si="9"/>
        <v>2</v>
      </c>
      <c r="Q108" s="606">
        <f t="shared" si="9"/>
        <v>0</v>
      </c>
      <c r="R108" s="606">
        <f t="shared" si="9"/>
        <v>1</v>
      </c>
      <c r="S108" s="606">
        <f t="shared" si="9"/>
        <v>0</v>
      </c>
      <c r="T108" s="606">
        <f t="shared" si="9"/>
        <v>0</v>
      </c>
      <c r="U108" s="606">
        <f t="shared" si="9"/>
        <v>0</v>
      </c>
      <c r="V108" s="606">
        <f t="shared" si="9"/>
        <v>0</v>
      </c>
      <c r="W108" s="606">
        <f t="shared" si="9"/>
        <v>0</v>
      </c>
      <c r="X108" s="606"/>
      <c r="Y108" s="606"/>
      <c r="Z108" s="606">
        <f t="shared" si="9"/>
        <v>4</v>
      </c>
    </row>
    <row r="110" spans="1:26" x14ac:dyDescent="0.25">
      <c r="A110" s="741" t="s">
        <v>1229</v>
      </c>
      <c r="B110" s="741"/>
    </row>
    <row r="111" spans="1:26" ht="30" x14ac:dyDescent="0.25">
      <c r="A111" s="594" t="s">
        <v>1</v>
      </c>
      <c r="B111" s="594" t="s">
        <v>59</v>
      </c>
      <c r="C111" s="632"/>
      <c r="D111" s="632"/>
      <c r="E111" s="632"/>
      <c r="F111" s="633"/>
      <c r="G111" s="634" t="s">
        <v>1225</v>
      </c>
      <c r="H111" s="635" t="s">
        <v>1224</v>
      </c>
      <c r="I111" s="635" t="s">
        <v>1498</v>
      </c>
      <c r="J111" s="635" t="s">
        <v>94</v>
      </c>
      <c r="K111" s="595" t="s">
        <v>681</v>
      </c>
      <c r="L111" s="595" t="s">
        <v>1496</v>
      </c>
      <c r="M111" s="595" t="s">
        <v>1497</v>
      </c>
      <c r="N111" s="595" t="s">
        <v>682</v>
      </c>
      <c r="O111" s="595" t="s">
        <v>683</v>
      </c>
      <c r="P111" s="595" t="s">
        <v>87</v>
      </c>
      <c r="Q111" s="595" t="s">
        <v>684</v>
      </c>
      <c r="R111" s="595" t="s">
        <v>685</v>
      </c>
      <c r="S111" s="595" t="s">
        <v>690</v>
      </c>
      <c r="T111" s="595" t="s">
        <v>686</v>
      </c>
      <c r="U111" s="595" t="s">
        <v>687</v>
      </c>
      <c r="V111" s="595" t="s">
        <v>688</v>
      </c>
      <c r="W111" s="595" t="s">
        <v>689</v>
      </c>
      <c r="X111" s="595" t="s">
        <v>138</v>
      </c>
      <c r="Y111" s="595" t="s">
        <v>1385</v>
      </c>
      <c r="Z111" s="595" t="s">
        <v>1238</v>
      </c>
    </row>
    <row r="112" spans="1:26" s="637" customFormat="1" ht="15" customHeight="1" x14ac:dyDescent="0.25">
      <c r="A112" s="596" t="s">
        <v>269</v>
      </c>
      <c r="B112" s="598" t="s">
        <v>61</v>
      </c>
      <c r="C112" s="620">
        <v>42898</v>
      </c>
      <c r="D112" s="621">
        <v>43008</v>
      </c>
      <c r="E112" s="622">
        <v>108</v>
      </c>
      <c r="F112" s="621">
        <v>43008</v>
      </c>
      <c r="G112" s="622">
        <v>-1</v>
      </c>
      <c r="H112" s="653">
        <f>-1693*0.9</f>
        <v>-1523.7</v>
      </c>
      <c r="I112" s="599">
        <v>0</v>
      </c>
      <c r="J112" s="623">
        <v>609</v>
      </c>
      <c r="K112" s="598"/>
      <c r="L112" s="598"/>
      <c r="M112" s="598"/>
      <c r="N112" s="598"/>
      <c r="O112" s="598">
        <v>-1</v>
      </c>
      <c r="P112" s="598"/>
      <c r="Q112" s="598"/>
      <c r="R112" s="598"/>
      <c r="S112" s="598"/>
      <c r="T112" s="598"/>
      <c r="U112" s="598"/>
      <c r="V112" s="598"/>
      <c r="W112" s="598"/>
      <c r="X112" s="598"/>
      <c r="Y112" s="598"/>
      <c r="Z112" s="598">
        <f t="shared" ref="Z112:Z120" si="10">SUM(K112:Y112)</f>
        <v>-1</v>
      </c>
    </row>
    <row r="113" spans="1:26" ht="15" customHeight="1" x14ac:dyDescent="0.25">
      <c r="A113" s="538" t="s">
        <v>1833</v>
      </c>
      <c r="B113" s="535" t="s">
        <v>115</v>
      </c>
      <c r="C113" s="620">
        <v>42935</v>
      </c>
      <c r="D113" s="621">
        <v>43010</v>
      </c>
      <c r="E113" s="622">
        <v>73</v>
      </c>
      <c r="F113" s="621">
        <v>42997</v>
      </c>
      <c r="G113" s="622">
        <v>-1</v>
      </c>
      <c r="H113" s="653">
        <v>-1643</v>
      </c>
      <c r="I113" s="623">
        <v>0</v>
      </c>
      <c r="J113" s="623">
        <v>-657</v>
      </c>
      <c r="K113" s="598"/>
      <c r="L113" s="598"/>
      <c r="M113" s="598"/>
      <c r="N113" s="598"/>
      <c r="O113" s="598"/>
      <c r="P113" s="598"/>
      <c r="Q113" s="598">
        <v>-1</v>
      </c>
      <c r="R113" s="598"/>
      <c r="S113" s="598"/>
      <c r="T113" s="598"/>
      <c r="U113" s="598"/>
      <c r="V113" s="598"/>
      <c r="W113" s="598"/>
      <c r="X113" s="598"/>
      <c r="Y113" s="598"/>
      <c r="Z113" s="598">
        <f t="shared" si="10"/>
        <v>-1</v>
      </c>
    </row>
    <row r="114" spans="1:26" ht="15" customHeight="1" x14ac:dyDescent="0.25">
      <c r="A114" s="603"/>
      <c r="B114" s="598"/>
      <c r="C114" s="620"/>
      <c r="D114" s="621"/>
      <c r="E114" s="622"/>
      <c r="F114" s="621"/>
      <c r="G114" s="622"/>
      <c r="H114" s="623"/>
      <c r="I114" s="623"/>
      <c r="J114" s="623"/>
      <c r="K114" s="598"/>
      <c r="L114" s="598"/>
      <c r="M114" s="598"/>
      <c r="N114" s="598"/>
      <c r="O114" s="598"/>
      <c r="P114" s="598"/>
      <c r="Q114" s="598"/>
      <c r="R114" s="598"/>
      <c r="S114" s="598"/>
      <c r="T114" s="598"/>
      <c r="U114" s="598"/>
      <c r="V114" s="598"/>
      <c r="W114" s="598"/>
      <c r="X114" s="598"/>
      <c r="Y114" s="598"/>
      <c r="Z114" s="598">
        <f t="shared" si="10"/>
        <v>0</v>
      </c>
    </row>
    <row r="115" spans="1:26" s="637" customFormat="1" ht="15" customHeight="1" x14ac:dyDescent="0.25">
      <c r="A115" s="598"/>
      <c r="B115" s="598"/>
      <c r="C115" s="620"/>
      <c r="D115" s="621"/>
      <c r="E115" s="622"/>
      <c r="F115" s="621"/>
      <c r="G115" s="622"/>
      <c r="H115" s="599"/>
      <c r="I115" s="623"/>
      <c r="J115" s="623"/>
      <c r="K115" s="598"/>
      <c r="L115" s="598"/>
      <c r="M115" s="598"/>
      <c r="N115" s="598"/>
      <c r="O115" s="598"/>
      <c r="P115" s="598"/>
      <c r="Q115" s="598"/>
      <c r="R115" s="598"/>
      <c r="S115" s="598"/>
      <c r="T115" s="598"/>
      <c r="U115" s="598"/>
      <c r="V115" s="598"/>
      <c r="W115" s="598"/>
      <c r="X115" s="598"/>
      <c r="Y115" s="598"/>
      <c r="Z115" s="598">
        <f t="shared" si="10"/>
        <v>0</v>
      </c>
    </row>
    <row r="116" spans="1:26" ht="15" customHeight="1" x14ac:dyDescent="0.25">
      <c r="A116" s="598"/>
      <c r="B116" s="598"/>
      <c r="C116" s="620"/>
      <c r="D116" s="621"/>
      <c r="E116" s="622"/>
      <c r="F116" s="621"/>
      <c r="G116" s="622"/>
      <c r="H116" s="599"/>
      <c r="I116" s="623"/>
      <c r="J116" s="623"/>
      <c r="K116" s="598"/>
      <c r="L116" s="598"/>
      <c r="M116" s="598"/>
      <c r="N116" s="598"/>
      <c r="O116" s="598"/>
      <c r="P116" s="598"/>
      <c r="Q116" s="598"/>
      <c r="R116" s="598"/>
      <c r="S116" s="598"/>
      <c r="T116" s="598"/>
      <c r="U116" s="598"/>
      <c r="V116" s="598"/>
      <c r="W116" s="598"/>
      <c r="X116" s="598"/>
      <c r="Y116" s="598"/>
      <c r="Z116" s="598">
        <f t="shared" si="10"/>
        <v>0</v>
      </c>
    </row>
    <row r="117" spans="1:26" ht="15" customHeight="1" x14ac:dyDescent="0.25">
      <c r="A117" s="598"/>
      <c r="B117" s="598"/>
      <c r="C117" s="620"/>
      <c r="D117" s="621"/>
      <c r="E117" s="622"/>
      <c r="F117" s="621"/>
      <c r="G117" s="622"/>
      <c r="H117" s="599"/>
      <c r="I117" s="623"/>
      <c r="J117" s="623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  <c r="W117" s="598"/>
      <c r="X117" s="598"/>
      <c r="Y117" s="598"/>
      <c r="Z117" s="598">
        <f t="shared" si="10"/>
        <v>0</v>
      </c>
    </row>
    <row r="118" spans="1:26" s="637" customFormat="1" ht="15" customHeight="1" x14ac:dyDescent="0.25">
      <c r="A118" s="603"/>
      <c r="B118" s="598"/>
      <c r="C118" s="620"/>
      <c r="D118" s="621"/>
      <c r="E118" s="622"/>
      <c r="F118" s="621"/>
      <c r="G118" s="622"/>
      <c r="H118" s="623"/>
      <c r="I118" s="623"/>
      <c r="J118" s="623"/>
      <c r="K118" s="598"/>
      <c r="L118" s="598"/>
      <c r="M118" s="598"/>
      <c r="N118" s="598"/>
      <c r="O118" s="598"/>
      <c r="P118" s="598"/>
      <c r="Q118" s="598"/>
      <c r="R118" s="598"/>
      <c r="S118" s="598"/>
      <c r="T118" s="598"/>
      <c r="U118" s="598"/>
      <c r="V118" s="598"/>
      <c r="W118" s="598"/>
      <c r="X118" s="598"/>
      <c r="Y118" s="598"/>
      <c r="Z118" s="598">
        <f t="shared" si="10"/>
        <v>0</v>
      </c>
    </row>
    <row r="119" spans="1:26" ht="15" customHeight="1" x14ac:dyDescent="0.25">
      <c r="A119" s="603"/>
      <c r="B119" s="598"/>
      <c r="C119" s="620"/>
      <c r="D119" s="621"/>
      <c r="E119" s="622"/>
      <c r="F119" s="621"/>
      <c r="G119" s="622"/>
      <c r="H119" s="623"/>
      <c r="I119" s="623"/>
      <c r="J119" s="623"/>
      <c r="K119" s="598"/>
      <c r="L119" s="598"/>
      <c r="M119" s="598"/>
      <c r="N119" s="598"/>
      <c r="O119" s="598"/>
      <c r="P119" s="598"/>
      <c r="Q119" s="598"/>
      <c r="R119" s="598"/>
      <c r="S119" s="598"/>
      <c r="T119" s="598"/>
      <c r="U119" s="598"/>
      <c r="V119" s="598"/>
      <c r="W119" s="598"/>
      <c r="X119" s="598"/>
      <c r="Y119" s="598"/>
      <c r="Z119" s="598">
        <f t="shared" si="10"/>
        <v>0</v>
      </c>
    </row>
    <row r="120" spans="1:26" ht="15" customHeight="1" x14ac:dyDescent="0.25">
      <c r="A120" s="603"/>
      <c r="B120" s="598"/>
      <c r="C120" s="620"/>
      <c r="D120" s="621"/>
      <c r="E120" s="622"/>
      <c r="F120" s="621"/>
      <c r="G120" s="622"/>
      <c r="H120" s="623"/>
      <c r="I120" s="623"/>
      <c r="J120" s="623"/>
      <c r="K120" s="598"/>
      <c r="L120" s="598"/>
      <c r="M120" s="598"/>
      <c r="N120" s="598"/>
      <c r="O120" s="598"/>
      <c r="P120" s="598"/>
      <c r="Q120" s="598"/>
      <c r="R120" s="598"/>
      <c r="S120" s="598"/>
      <c r="T120" s="598"/>
      <c r="U120" s="598"/>
      <c r="V120" s="598"/>
      <c r="W120" s="598"/>
      <c r="X120" s="598"/>
      <c r="Y120" s="598"/>
      <c r="Z120" s="598">
        <f t="shared" si="10"/>
        <v>0</v>
      </c>
    </row>
    <row r="121" spans="1:26" ht="15" customHeight="1" x14ac:dyDescent="0.25">
      <c r="A121" s="604" t="s">
        <v>1230</v>
      </c>
      <c r="B121" s="605"/>
      <c r="C121" s="625"/>
      <c r="D121" s="626"/>
      <c r="E121" s="606"/>
      <c r="F121" s="626"/>
      <c r="G121" s="606">
        <f>SUM(G112:G120)</f>
        <v>-2</v>
      </c>
      <c r="H121" s="608">
        <f>SUM(H112:H120)</f>
        <v>-3166.7</v>
      </c>
      <c r="I121" s="608">
        <f t="shared" ref="I121:J121" si="11">SUM(I112:I120)</f>
        <v>0</v>
      </c>
      <c r="J121" s="608">
        <f t="shared" si="11"/>
        <v>-48</v>
      </c>
      <c r="K121" s="606">
        <f>SUM(K112:K120)</f>
        <v>0</v>
      </c>
      <c r="L121" s="606">
        <f t="shared" ref="L121:Z121" si="12">SUM(L112:L120)</f>
        <v>0</v>
      </c>
      <c r="M121" s="606">
        <f t="shared" si="12"/>
        <v>0</v>
      </c>
      <c r="N121" s="606">
        <f t="shared" si="12"/>
        <v>0</v>
      </c>
      <c r="O121" s="606">
        <f t="shared" si="12"/>
        <v>-1</v>
      </c>
      <c r="P121" s="606">
        <f t="shared" si="12"/>
        <v>0</v>
      </c>
      <c r="Q121" s="606">
        <f t="shared" si="12"/>
        <v>-1</v>
      </c>
      <c r="R121" s="606">
        <f t="shared" si="12"/>
        <v>0</v>
      </c>
      <c r="S121" s="606">
        <f t="shared" si="12"/>
        <v>0</v>
      </c>
      <c r="T121" s="606">
        <f t="shared" si="12"/>
        <v>0</v>
      </c>
      <c r="U121" s="606">
        <f t="shared" si="12"/>
        <v>0</v>
      </c>
      <c r="V121" s="606">
        <f t="shared" si="12"/>
        <v>0</v>
      </c>
      <c r="W121" s="606">
        <f t="shared" si="12"/>
        <v>0</v>
      </c>
      <c r="X121" s="606">
        <f t="shared" si="12"/>
        <v>0</v>
      </c>
      <c r="Y121" s="606">
        <f t="shared" si="12"/>
        <v>0</v>
      </c>
      <c r="Z121" s="606">
        <f t="shared" si="12"/>
        <v>-2</v>
      </c>
    </row>
    <row r="123" spans="1:26" x14ac:dyDescent="0.25">
      <c r="A123" s="741" t="s">
        <v>1231</v>
      </c>
      <c r="B123" s="741"/>
    </row>
    <row r="124" spans="1:26" ht="30" x14ac:dyDescent="0.25">
      <c r="A124" s="594" t="s">
        <v>1</v>
      </c>
      <c r="B124" s="594" t="s">
        <v>59</v>
      </c>
      <c r="C124" s="632"/>
      <c r="D124" s="632"/>
      <c r="E124" s="632"/>
      <c r="F124" s="633"/>
      <c r="G124" s="634" t="s">
        <v>1225</v>
      </c>
      <c r="H124" s="635" t="s">
        <v>1224</v>
      </c>
      <c r="I124" s="635" t="s">
        <v>1498</v>
      </c>
      <c r="J124" s="635" t="s">
        <v>94</v>
      </c>
      <c r="K124" s="595" t="s">
        <v>681</v>
      </c>
      <c r="L124" s="595" t="s">
        <v>1496</v>
      </c>
      <c r="M124" s="595" t="s">
        <v>1497</v>
      </c>
      <c r="N124" s="595" t="s">
        <v>682</v>
      </c>
      <c r="O124" s="595" t="s">
        <v>683</v>
      </c>
      <c r="P124" s="595" t="s">
        <v>87</v>
      </c>
      <c r="Q124" s="595" t="s">
        <v>684</v>
      </c>
      <c r="R124" s="595" t="s">
        <v>685</v>
      </c>
      <c r="S124" s="595" t="s">
        <v>690</v>
      </c>
      <c r="T124" s="595" t="s">
        <v>686</v>
      </c>
      <c r="U124" s="595" t="s">
        <v>687</v>
      </c>
      <c r="V124" s="595" t="s">
        <v>688</v>
      </c>
      <c r="W124" s="595" t="s">
        <v>689</v>
      </c>
      <c r="X124" s="595" t="s">
        <v>138</v>
      </c>
      <c r="Y124" s="595" t="s">
        <v>1385</v>
      </c>
      <c r="Z124" s="595" t="s">
        <v>1238</v>
      </c>
    </row>
    <row r="125" spans="1:26" ht="15" customHeight="1" x14ac:dyDescent="0.25">
      <c r="A125" s="597" t="s">
        <v>1137</v>
      </c>
      <c r="B125" s="598" t="s">
        <v>115</v>
      </c>
      <c r="C125" s="620"/>
      <c r="D125" s="621"/>
      <c r="E125" s="622"/>
      <c r="F125" s="621"/>
      <c r="G125" s="622">
        <v>-1</v>
      </c>
      <c r="H125" s="623">
        <v>-1643</v>
      </c>
      <c r="I125" s="623"/>
      <c r="J125" s="623">
        <v>-657</v>
      </c>
      <c r="K125" s="598"/>
      <c r="L125" s="598"/>
      <c r="M125" s="598"/>
      <c r="N125" s="598"/>
      <c r="O125" s="598"/>
      <c r="P125" s="598"/>
      <c r="Q125" s="598"/>
      <c r="R125" s="598"/>
      <c r="S125" s="598"/>
      <c r="T125" s="598"/>
      <c r="U125" s="598"/>
      <c r="V125" s="598">
        <v>-1</v>
      </c>
      <c r="W125" s="598"/>
      <c r="X125" s="598"/>
      <c r="Y125" s="598"/>
      <c r="Z125" s="598">
        <f t="shared" ref="Z125:Z127" si="13">SUM(K125:Y125)</f>
        <v>-1</v>
      </c>
    </row>
    <row r="126" spans="1:26" ht="15" customHeight="1" x14ac:dyDescent="0.25">
      <c r="A126" s="598" t="s">
        <v>187</v>
      </c>
      <c r="B126" s="598" t="s">
        <v>61</v>
      </c>
      <c r="C126" s="620"/>
      <c r="D126" s="621"/>
      <c r="E126" s="622"/>
      <c r="F126" s="621"/>
      <c r="G126" s="622">
        <v>-1</v>
      </c>
      <c r="H126" s="623">
        <v>-2560</v>
      </c>
      <c r="I126" s="623"/>
      <c r="J126" s="623">
        <v>-1024</v>
      </c>
      <c r="K126" s="598"/>
      <c r="L126" s="598"/>
      <c r="M126" s="598"/>
      <c r="N126" s="598"/>
      <c r="O126" s="598"/>
      <c r="P126" s="598"/>
      <c r="Q126" s="598">
        <v>-1</v>
      </c>
      <c r="R126" s="598"/>
      <c r="S126" s="598"/>
      <c r="T126" s="598"/>
      <c r="U126" s="598"/>
      <c r="V126" s="598"/>
      <c r="W126" s="598"/>
      <c r="X126" s="598"/>
      <c r="Y126" s="598"/>
      <c r="Z126" s="598">
        <f t="shared" si="13"/>
        <v>-1</v>
      </c>
    </row>
    <row r="127" spans="1:26" ht="15" customHeight="1" x14ac:dyDescent="0.25">
      <c r="A127" s="530" t="s">
        <v>1553</v>
      </c>
      <c r="B127" s="598" t="s">
        <v>61</v>
      </c>
      <c r="C127" s="620"/>
      <c r="D127" s="621"/>
      <c r="E127" s="622"/>
      <c r="F127" s="621"/>
      <c r="G127" s="622">
        <v>-1</v>
      </c>
      <c r="H127" s="623">
        <v>-1693</v>
      </c>
      <c r="I127" s="623"/>
      <c r="J127" s="623">
        <v>-677</v>
      </c>
      <c r="K127" s="598"/>
      <c r="L127" s="598"/>
      <c r="M127" s="598"/>
      <c r="N127" s="598"/>
      <c r="O127" s="598"/>
      <c r="P127" s="598"/>
      <c r="Q127" s="598">
        <v>-1</v>
      </c>
      <c r="R127" s="598"/>
      <c r="S127" s="598"/>
      <c r="T127" s="598"/>
      <c r="U127" s="598"/>
      <c r="V127" s="598"/>
      <c r="W127" s="598"/>
      <c r="X127" s="598"/>
      <c r="Y127" s="598"/>
      <c r="Z127" s="598">
        <f t="shared" si="13"/>
        <v>-1</v>
      </c>
    </row>
    <row r="128" spans="1:26" ht="15" customHeight="1" x14ac:dyDescent="0.25">
      <c r="A128" s="604" t="s">
        <v>1230</v>
      </c>
      <c r="B128" s="605"/>
      <c r="C128" s="625"/>
      <c r="D128" s="626"/>
      <c r="E128" s="606"/>
      <c r="F128" s="626"/>
      <c r="G128" s="606">
        <f>SUM(G125:G127)</f>
        <v>-3</v>
      </c>
      <c r="H128" s="608">
        <f>SUM(H125:H127)</f>
        <v>-5896</v>
      </c>
      <c r="I128" s="608">
        <f t="shared" ref="I128:Z128" si="14">SUM(I125:I127)</f>
        <v>0</v>
      </c>
      <c r="J128" s="608">
        <f t="shared" si="14"/>
        <v>-2358</v>
      </c>
      <c r="K128" s="606">
        <f t="shared" si="14"/>
        <v>0</v>
      </c>
      <c r="L128" s="606">
        <f t="shared" si="14"/>
        <v>0</v>
      </c>
      <c r="M128" s="606">
        <f t="shared" si="14"/>
        <v>0</v>
      </c>
      <c r="N128" s="606">
        <f t="shared" si="14"/>
        <v>0</v>
      </c>
      <c r="O128" s="606">
        <f t="shared" si="14"/>
        <v>0</v>
      </c>
      <c r="P128" s="606">
        <f t="shared" si="14"/>
        <v>0</v>
      </c>
      <c r="Q128" s="606">
        <f t="shared" si="14"/>
        <v>-2</v>
      </c>
      <c r="R128" s="606">
        <f t="shared" si="14"/>
        <v>0</v>
      </c>
      <c r="S128" s="606">
        <f t="shared" si="14"/>
        <v>0</v>
      </c>
      <c r="T128" s="606">
        <f t="shared" si="14"/>
        <v>0</v>
      </c>
      <c r="U128" s="606">
        <f t="shared" si="14"/>
        <v>0</v>
      </c>
      <c r="V128" s="606">
        <f t="shared" si="14"/>
        <v>-1</v>
      </c>
      <c r="W128" s="606">
        <f t="shared" si="14"/>
        <v>0</v>
      </c>
      <c r="X128" s="606"/>
      <c r="Y128" s="606"/>
      <c r="Z128" s="606">
        <f t="shared" si="14"/>
        <v>-3</v>
      </c>
    </row>
    <row r="129" spans="1:26" ht="15.75" thickBot="1" x14ac:dyDescent="0.3"/>
    <row r="130" spans="1:26" ht="15.75" thickBot="1" x14ac:dyDescent="0.3">
      <c r="A130" s="642" t="s">
        <v>1232</v>
      </c>
      <c r="B130" s="643"/>
      <c r="C130" s="643"/>
      <c r="D130" s="643"/>
      <c r="E130" s="643"/>
      <c r="F130" s="643"/>
      <c r="G130" s="644">
        <f t="shared" ref="G130:W130" si="15">G83+G96+G108+G121+G128</f>
        <v>7</v>
      </c>
      <c r="H130" s="645">
        <f t="shared" si="15"/>
        <v>57949.3</v>
      </c>
      <c r="I130" s="645">
        <f t="shared" si="15"/>
        <v>27500</v>
      </c>
      <c r="J130" s="645">
        <f t="shared" si="15"/>
        <v>107847.36000000002</v>
      </c>
      <c r="K130" s="646">
        <f t="shared" si="15"/>
        <v>4</v>
      </c>
      <c r="L130" s="646">
        <f t="shared" si="15"/>
        <v>3</v>
      </c>
      <c r="M130" s="646">
        <f t="shared" si="15"/>
        <v>0</v>
      </c>
      <c r="N130" s="646">
        <f t="shared" si="15"/>
        <v>3</v>
      </c>
      <c r="O130" s="646">
        <f t="shared" si="15"/>
        <v>-1</v>
      </c>
      <c r="P130" s="646">
        <f t="shared" si="15"/>
        <v>5</v>
      </c>
      <c r="Q130" s="646">
        <f t="shared" si="15"/>
        <v>5</v>
      </c>
      <c r="R130" s="646">
        <f t="shared" si="15"/>
        <v>1</v>
      </c>
      <c r="S130" s="646">
        <f t="shared" si="15"/>
        <v>4</v>
      </c>
      <c r="T130" s="646">
        <f t="shared" si="15"/>
        <v>3</v>
      </c>
      <c r="U130" s="646">
        <f t="shared" si="15"/>
        <v>0</v>
      </c>
      <c r="V130" s="646">
        <f t="shared" si="15"/>
        <v>1</v>
      </c>
      <c r="W130" s="646">
        <f t="shared" si="15"/>
        <v>0</v>
      </c>
      <c r="X130" s="646"/>
      <c r="Y130" s="646"/>
      <c r="Z130" s="646">
        <f>Z83+Z96+Z108+Z121+Z128</f>
        <v>28</v>
      </c>
    </row>
    <row r="131" spans="1:26" ht="15.75" thickBot="1" x14ac:dyDescent="0.3">
      <c r="A131" s="642" t="s">
        <v>64</v>
      </c>
      <c r="B131" s="643"/>
      <c r="C131" s="643"/>
      <c r="D131" s="643"/>
      <c r="E131" s="643"/>
      <c r="F131" s="643"/>
      <c r="G131" s="644"/>
      <c r="H131" s="645"/>
      <c r="I131" s="645"/>
      <c r="J131" s="645"/>
    </row>
    <row r="132" spans="1:26" ht="15.75" thickBot="1" x14ac:dyDescent="0.3">
      <c r="A132" s="647" t="s">
        <v>452</v>
      </c>
      <c r="B132" s="648"/>
      <c r="C132" s="648"/>
      <c r="D132" s="648"/>
      <c r="E132" s="648"/>
      <c r="F132" s="648"/>
      <c r="G132" s="649"/>
      <c r="H132" s="650">
        <f>H130-H131</f>
        <v>57949.3</v>
      </c>
      <c r="I132" s="650"/>
      <c r="J132" s="650"/>
    </row>
    <row r="135" spans="1:26" x14ac:dyDescent="0.25">
      <c r="H135" s="651">
        <f>H83+H108+H121+H128</f>
        <v>10460.299999999999</v>
      </c>
      <c r="I135" s="651"/>
      <c r="J135" s="651"/>
    </row>
  </sheetData>
  <sortState ref="A87:Z95">
    <sortCondition ref="B87:B95"/>
  </sortState>
  <mergeCells count="8">
    <mergeCell ref="G3:H3"/>
    <mergeCell ref="A85:B85"/>
    <mergeCell ref="A98:B98"/>
    <mergeCell ref="A110:B110"/>
    <mergeCell ref="A123:B123"/>
    <mergeCell ref="A3:B3"/>
    <mergeCell ref="C3:D3"/>
    <mergeCell ref="E3:F3"/>
  </mergeCells>
  <pageMargins left="0.7" right="0.7" top="0.75" bottom="0.75" header="0.3" footer="0.3"/>
  <pageSetup scale="33" fitToHeight="3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32"/>
  <sheetViews>
    <sheetView topLeftCell="A10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655" customWidth="1"/>
    <col min="2" max="2" width="8.85546875" style="655"/>
    <col min="3" max="3" width="11.85546875" style="655" customWidth="1"/>
    <col min="4" max="4" width="17.28515625" style="655" customWidth="1"/>
    <col min="5" max="5" width="11.85546875" style="655" customWidth="1"/>
    <col min="6" max="6" width="13.85546875" style="655" customWidth="1"/>
    <col min="7" max="7" width="11.85546875" style="655" customWidth="1"/>
    <col min="8" max="8" width="13.42578125" style="655" customWidth="1"/>
    <col min="9" max="9" width="12.28515625" style="655" customWidth="1"/>
    <col min="10" max="10" width="13.42578125" style="655" customWidth="1"/>
    <col min="11" max="26" width="6.28515625" style="655" customWidth="1"/>
    <col min="27" max="16384" width="8.85546875" style="655"/>
  </cols>
  <sheetData>
    <row r="1" spans="1:26" x14ac:dyDescent="0.25">
      <c r="A1" s="418" t="s">
        <v>1360</v>
      </c>
    </row>
    <row r="3" spans="1:26" x14ac:dyDescent="0.25">
      <c r="A3" s="743" t="s">
        <v>1214</v>
      </c>
      <c r="B3" s="743"/>
      <c r="C3" s="742" t="s">
        <v>1216</v>
      </c>
      <c r="D3" s="742"/>
      <c r="E3" s="742" t="s">
        <v>1217</v>
      </c>
      <c r="F3" s="742"/>
      <c r="G3" s="742" t="s">
        <v>1218</v>
      </c>
      <c r="H3" s="742"/>
      <c r="I3" s="656"/>
      <c r="J3" s="656"/>
    </row>
    <row r="4" spans="1:26" ht="30" x14ac:dyDescent="0.25">
      <c r="A4" s="657" t="s">
        <v>1</v>
      </c>
      <c r="B4" s="657" t="s">
        <v>59</v>
      </c>
      <c r="C4" s="658" t="s">
        <v>1219</v>
      </c>
      <c r="D4" s="658" t="s">
        <v>1220</v>
      </c>
      <c r="E4" s="658" t="s">
        <v>1219</v>
      </c>
      <c r="F4" s="658" t="s">
        <v>1220</v>
      </c>
      <c r="G4" s="658" t="s">
        <v>1219</v>
      </c>
      <c r="H4" s="658" t="s">
        <v>1220</v>
      </c>
      <c r="I4" s="658" t="s">
        <v>1498</v>
      </c>
      <c r="J4" s="658" t="s">
        <v>94</v>
      </c>
      <c r="K4" s="658" t="s">
        <v>681</v>
      </c>
      <c r="L4" s="658" t="s">
        <v>1496</v>
      </c>
      <c r="M4" s="658" t="s">
        <v>1497</v>
      </c>
      <c r="N4" s="658" t="s">
        <v>682</v>
      </c>
      <c r="O4" s="658" t="s">
        <v>683</v>
      </c>
      <c r="P4" s="658" t="s">
        <v>87</v>
      </c>
      <c r="Q4" s="658" t="s">
        <v>684</v>
      </c>
      <c r="R4" s="658" t="s">
        <v>685</v>
      </c>
      <c r="S4" s="658" t="s">
        <v>690</v>
      </c>
      <c r="T4" s="658" t="s">
        <v>686</v>
      </c>
      <c r="U4" s="658" t="s">
        <v>687</v>
      </c>
      <c r="V4" s="658" t="s">
        <v>688</v>
      </c>
      <c r="W4" s="658" t="s">
        <v>689</v>
      </c>
      <c r="X4" s="658" t="s">
        <v>138</v>
      </c>
      <c r="Y4" s="658" t="s">
        <v>1385</v>
      </c>
      <c r="Z4" s="658" t="s">
        <v>1238</v>
      </c>
    </row>
    <row r="5" spans="1:26" ht="14.45" customHeight="1" x14ac:dyDescent="0.25">
      <c r="A5" s="721" t="s">
        <v>1656</v>
      </c>
      <c r="B5" s="659" t="s">
        <v>115</v>
      </c>
      <c r="C5" s="660">
        <v>6</v>
      </c>
      <c r="D5" s="661">
        <v>9858</v>
      </c>
      <c r="E5" s="713">
        <v>6</v>
      </c>
      <c r="F5" s="714">
        <v>10158</v>
      </c>
      <c r="G5" s="660">
        <f t="shared" ref="G5:H34" si="0">E5-C5</f>
        <v>0</v>
      </c>
      <c r="H5" s="728">
        <f t="shared" si="0"/>
        <v>300</v>
      </c>
      <c r="I5" s="661"/>
      <c r="J5" s="720">
        <v>4063</v>
      </c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>
        <f t="shared" ref="Z5:Z66" si="1">SUM(K5:Y5)</f>
        <v>0</v>
      </c>
    </row>
    <row r="6" spans="1:26" ht="14.45" customHeight="1" x14ac:dyDescent="0.25">
      <c r="A6" s="721" t="s">
        <v>27</v>
      </c>
      <c r="B6" s="659" t="s">
        <v>61</v>
      </c>
      <c r="C6" s="660">
        <v>2</v>
      </c>
      <c r="D6" s="661">
        <v>6207</v>
      </c>
      <c r="E6" s="713">
        <v>2</v>
      </c>
      <c r="F6" s="714">
        <v>6327</v>
      </c>
      <c r="G6" s="660">
        <f t="shared" si="0"/>
        <v>0</v>
      </c>
      <c r="H6" s="728">
        <f t="shared" si="0"/>
        <v>120</v>
      </c>
      <c r="I6" s="661"/>
      <c r="J6" s="720">
        <v>1651</v>
      </c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>
        <f t="shared" si="1"/>
        <v>0</v>
      </c>
    </row>
    <row r="7" spans="1:26" ht="14.45" customHeight="1" x14ac:dyDescent="0.25">
      <c r="A7" s="721" t="s">
        <v>28</v>
      </c>
      <c r="B7" s="659" t="s">
        <v>61</v>
      </c>
      <c r="C7" s="660">
        <v>5</v>
      </c>
      <c r="D7" s="661">
        <v>7009</v>
      </c>
      <c r="E7" s="713">
        <v>5</v>
      </c>
      <c r="F7" s="714">
        <v>7106.5</v>
      </c>
      <c r="G7" s="660">
        <f t="shared" si="0"/>
        <v>0</v>
      </c>
      <c r="H7" s="728">
        <f t="shared" si="0"/>
        <v>97.5</v>
      </c>
      <c r="I7" s="661"/>
      <c r="J7" s="720">
        <v>2842.8</v>
      </c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>
        <f t="shared" si="1"/>
        <v>0</v>
      </c>
    </row>
    <row r="8" spans="1:26" ht="14.45" customHeight="1" x14ac:dyDescent="0.25">
      <c r="A8" s="721" t="s">
        <v>29</v>
      </c>
      <c r="B8" s="659" t="s">
        <v>61</v>
      </c>
      <c r="C8" s="660">
        <v>5</v>
      </c>
      <c r="D8" s="661">
        <v>6900</v>
      </c>
      <c r="E8" s="713">
        <v>5</v>
      </c>
      <c r="F8" s="714">
        <v>7107</v>
      </c>
      <c r="G8" s="660">
        <f t="shared" si="0"/>
        <v>0</v>
      </c>
      <c r="H8" s="728">
        <f t="shared" si="0"/>
        <v>207</v>
      </c>
      <c r="I8" s="661"/>
      <c r="J8" s="720">
        <v>2842.8</v>
      </c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>
        <f t="shared" si="1"/>
        <v>0</v>
      </c>
    </row>
    <row r="9" spans="1:26" ht="14.45" customHeight="1" x14ac:dyDescent="0.25">
      <c r="A9" s="721" t="s">
        <v>1409</v>
      </c>
      <c r="B9" s="659" t="s">
        <v>61</v>
      </c>
      <c r="C9" s="660">
        <v>2</v>
      </c>
      <c r="D9" s="661">
        <v>3286</v>
      </c>
      <c r="E9" s="713">
        <v>2</v>
      </c>
      <c r="F9" s="714">
        <v>3386</v>
      </c>
      <c r="G9" s="660">
        <f t="shared" si="0"/>
        <v>0</v>
      </c>
      <c r="H9" s="728">
        <f t="shared" si="0"/>
        <v>100</v>
      </c>
      <c r="I9" s="661"/>
      <c r="J9" s="720">
        <v>1354</v>
      </c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>
        <f t="shared" si="1"/>
        <v>0</v>
      </c>
    </row>
    <row r="10" spans="1:26" ht="14.45" customHeight="1" x14ac:dyDescent="0.25">
      <c r="A10" s="721" t="s">
        <v>39</v>
      </c>
      <c r="B10" s="659" t="s">
        <v>115</v>
      </c>
      <c r="C10" s="660">
        <v>8</v>
      </c>
      <c r="D10" s="661">
        <v>13144</v>
      </c>
      <c r="E10" s="713">
        <v>8</v>
      </c>
      <c r="F10" s="714">
        <v>13544</v>
      </c>
      <c r="G10" s="660">
        <f t="shared" si="0"/>
        <v>0</v>
      </c>
      <c r="H10" s="728">
        <f t="shared" si="0"/>
        <v>400</v>
      </c>
      <c r="I10" s="661"/>
      <c r="J10" s="720">
        <v>5418</v>
      </c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>
        <f t="shared" si="1"/>
        <v>0</v>
      </c>
    </row>
    <row r="11" spans="1:26" ht="14.45" customHeight="1" x14ac:dyDescent="0.25">
      <c r="A11" s="721" t="s">
        <v>38</v>
      </c>
      <c r="B11" s="659" t="s">
        <v>115</v>
      </c>
      <c r="C11" s="660">
        <v>9</v>
      </c>
      <c r="D11" s="662">
        <v>9611.4</v>
      </c>
      <c r="E11" s="713">
        <v>9</v>
      </c>
      <c r="F11" s="715">
        <v>9392</v>
      </c>
      <c r="G11" s="660">
        <f t="shared" si="0"/>
        <v>0</v>
      </c>
      <c r="H11" s="728">
        <f t="shared" si="0"/>
        <v>-219.39999999999964</v>
      </c>
      <c r="I11" s="661"/>
      <c r="J11" s="720">
        <v>3756.8</v>
      </c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>
        <f t="shared" si="1"/>
        <v>0</v>
      </c>
    </row>
    <row r="12" spans="1:26" ht="14.45" customHeight="1" x14ac:dyDescent="0.25">
      <c r="A12" s="721" t="s">
        <v>258</v>
      </c>
      <c r="B12" s="660" t="s">
        <v>115</v>
      </c>
      <c r="C12" s="660">
        <v>7</v>
      </c>
      <c r="D12" s="661">
        <v>8899</v>
      </c>
      <c r="E12" s="713">
        <v>7</v>
      </c>
      <c r="F12" s="714">
        <v>9165.5</v>
      </c>
      <c r="G12" s="660">
        <f t="shared" si="0"/>
        <v>0</v>
      </c>
      <c r="H12" s="728">
        <f t="shared" si="0"/>
        <v>266.5</v>
      </c>
      <c r="I12" s="661"/>
      <c r="J12" s="720">
        <v>3666.4000000000005</v>
      </c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>
        <f t="shared" si="1"/>
        <v>0</v>
      </c>
    </row>
    <row r="13" spans="1:26" ht="14.45" customHeight="1" x14ac:dyDescent="0.25">
      <c r="A13" s="721" t="s">
        <v>207</v>
      </c>
      <c r="B13" s="660" t="s">
        <v>115</v>
      </c>
      <c r="C13" s="660">
        <v>2</v>
      </c>
      <c r="D13" s="661">
        <v>3286</v>
      </c>
      <c r="E13" s="713">
        <v>2</v>
      </c>
      <c r="F13" s="714">
        <v>3386</v>
      </c>
      <c r="G13" s="660">
        <f t="shared" si="0"/>
        <v>0</v>
      </c>
      <c r="H13" s="728">
        <f t="shared" si="0"/>
        <v>100</v>
      </c>
      <c r="I13" s="661"/>
      <c r="J13" s="720">
        <v>1354</v>
      </c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>
        <f t="shared" si="1"/>
        <v>0</v>
      </c>
    </row>
    <row r="14" spans="1:26" ht="14.45" customHeight="1" x14ac:dyDescent="0.25">
      <c r="A14" s="721" t="s">
        <v>1464</v>
      </c>
      <c r="B14" s="659" t="s">
        <v>115</v>
      </c>
      <c r="C14" s="660">
        <v>1</v>
      </c>
      <c r="D14" s="661">
        <v>865</v>
      </c>
      <c r="E14" s="713">
        <v>1</v>
      </c>
      <c r="F14" s="714">
        <v>1447</v>
      </c>
      <c r="G14" s="660">
        <f t="shared" si="0"/>
        <v>0</v>
      </c>
      <c r="H14" s="728">
        <f t="shared" si="0"/>
        <v>582</v>
      </c>
      <c r="I14" s="661"/>
      <c r="J14" s="720">
        <v>579</v>
      </c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>
        <f t="shared" si="1"/>
        <v>0</v>
      </c>
    </row>
    <row r="15" spans="1:26" ht="14.45" customHeight="1" x14ac:dyDescent="0.25">
      <c r="A15" s="721" t="s">
        <v>37</v>
      </c>
      <c r="B15" s="660" t="s">
        <v>115</v>
      </c>
      <c r="C15" s="660">
        <v>5</v>
      </c>
      <c r="D15" s="661">
        <v>4783</v>
      </c>
      <c r="E15" s="713">
        <v>5</v>
      </c>
      <c r="F15" s="714">
        <f>6416-2063</f>
        <v>4353</v>
      </c>
      <c r="G15" s="660">
        <f t="shared" si="0"/>
        <v>0</v>
      </c>
      <c r="H15" s="728">
        <f t="shared" si="0"/>
        <v>-430</v>
      </c>
      <c r="I15" s="661"/>
      <c r="J15" s="720">
        <f>F15*0.4</f>
        <v>1741.2</v>
      </c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>
        <f t="shared" si="1"/>
        <v>0</v>
      </c>
    </row>
    <row r="16" spans="1:26" ht="14.45" customHeight="1" x14ac:dyDescent="0.25">
      <c r="A16" s="721" t="s">
        <v>278</v>
      </c>
      <c r="B16" s="660" t="s">
        <v>115</v>
      </c>
      <c r="C16" s="660">
        <v>8</v>
      </c>
      <c r="D16" s="661">
        <v>9311.4000000000015</v>
      </c>
      <c r="E16" s="713">
        <v>8</v>
      </c>
      <c r="F16" s="714">
        <v>9589.75</v>
      </c>
      <c r="G16" s="660">
        <f t="shared" si="0"/>
        <v>0</v>
      </c>
      <c r="H16" s="728">
        <f t="shared" si="0"/>
        <v>278.34999999999854</v>
      </c>
      <c r="I16" s="661"/>
      <c r="J16" s="720">
        <v>3836.1600000000003</v>
      </c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>
        <f t="shared" si="1"/>
        <v>0</v>
      </c>
    </row>
    <row r="17" spans="1:26" ht="14.45" customHeight="1" x14ac:dyDescent="0.25">
      <c r="A17" s="721" t="s">
        <v>386</v>
      </c>
      <c r="B17" s="660" t="s">
        <v>115</v>
      </c>
      <c r="C17" s="660">
        <v>3</v>
      </c>
      <c r="D17" s="661">
        <v>4929</v>
      </c>
      <c r="E17" s="713">
        <v>3</v>
      </c>
      <c r="F17" s="714">
        <v>5079</v>
      </c>
      <c r="G17" s="660">
        <f t="shared" si="0"/>
        <v>0</v>
      </c>
      <c r="H17" s="728">
        <f t="shared" si="0"/>
        <v>150</v>
      </c>
      <c r="I17" s="661"/>
      <c r="J17" s="720">
        <v>2032</v>
      </c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>
        <f t="shared" si="1"/>
        <v>0</v>
      </c>
    </row>
    <row r="18" spans="1:26" ht="14.45" customHeight="1" x14ac:dyDescent="0.25">
      <c r="A18" s="721" t="s">
        <v>36</v>
      </c>
      <c r="B18" s="660" t="s">
        <v>115</v>
      </c>
      <c r="C18" s="660">
        <v>8</v>
      </c>
      <c r="D18" s="661">
        <v>8810.4000000000015</v>
      </c>
      <c r="E18" s="713">
        <v>8</v>
      </c>
      <c r="F18" s="714">
        <v>13000</v>
      </c>
      <c r="G18" s="660">
        <f t="shared" si="0"/>
        <v>0</v>
      </c>
      <c r="H18" s="728">
        <f t="shared" si="0"/>
        <v>4189.5999999999985</v>
      </c>
      <c r="I18" s="661"/>
      <c r="J18" s="720">
        <v>4000</v>
      </c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>
        <f t="shared" si="1"/>
        <v>0</v>
      </c>
    </row>
    <row r="19" spans="1:26" ht="14.45" customHeight="1" x14ac:dyDescent="0.25">
      <c r="A19" s="721" t="s">
        <v>35</v>
      </c>
      <c r="B19" s="660" t="s">
        <v>115</v>
      </c>
      <c r="C19" s="660">
        <v>9</v>
      </c>
      <c r="D19" s="661">
        <v>11515.699999999999</v>
      </c>
      <c r="E19" s="713">
        <v>9</v>
      </c>
      <c r="F19" s="714">
        <v>11345.8</v>
      </c>
      <c r="G19" s="660">
        <f t="shared" si="0"/>
        <v>0</v>
      </c>
      <c r="H19" s="728">
        <f t="shared" si="0"/>
        <v>-169.89999999999964</v>
      </c>
      <c r="I19" s="661"/>
      <c r="J19" s="720">
        <v>4000</v>
      </c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>
        <f t="shared" si="1"/>
        <v>0</v>
      </c>
    </row>
    <row r="20" spans="1:26" ht="14.45" customHeight="1" x14ac:dyDescent="0.25">
      <c r="A20" s="721" t="s">
        <v>121</v>
      </c>
      <c r="B20" s="660" t="s">
        <v>115</v>
      </c>
      <c r="C20" s="660">
        <v>1</v>
      </c>
      <c r="D20" s="661">
        <v>890</v>
      </c>
      <c r="E20" s="713">
        <v>1</v>
      </c>
      <c r="F20" s="714">
        <v>1693</v>
      </c>
      <c r="G20" s="660">
        <f t="shared" si="0"/>
        <v>0</v>
      </c>
      <c r="H20" s="728">
        <f t="shared" si="0"/>
        <v>803</v>
      </c>
      <c r="I20" s="661"/>
      <c r="J20" s="720">
        <v>677</v>
      </c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>
        <f t="shared" si="1"/>
        <v>0</v>
      </c>
    </row>
    <row r="21" spans="1:26" ht="14.45" customHeight="1" x14ac:dyDescent="0.25">
      <c r="A21" s="722" t="s">
        <v>1644</v>
      </c>
      <c r="B21" s="659" t="s">
        <v>115</v>
      </c>
      <c r="C21" s="660">
        <v>6</v>
      </c>
      <c r="D21" s="661">
        <v>9858</v>
      </c>
      <c r="E21" s="713">
        <v>6</v>
      </c>
      <c r="F21" s="714">
        <v>10158</v>
      </c>
      <c r="G21" s="660">
        <f t="shared" si="0"/>
        <v>0</v>
      </c>
      <c r="H21" s="728">
        <f t="shared" si="0"/>
        <v>300</v>
      </c>
      <c r="I21" s="661"/>
      <c r="J21" s="720">
        <v>4063</v>
      </c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>
        <f t="shared" si="1"/>
        <v>0</v>
      </c>
    </row>
    <row r="22" spans="1:26" ht="14.45" customHeight="1" x14ac:dyDescent="0.25">
      <c r="A22" s="721" t="s">
        <v>34</v>
      </c>
      <c r="B22" s="660" t="s">
        <v>115</v>
      </c>
      <c r="C22" s="660">
        <v>6</v>
      </c>
      <c r="D22" s="661">
        <v>8215</v>
      </c>
      <c r="E22" s="713">
        <v>6</v>
      </c>
      <c r="F22" s="714">
        <v>10158</v>
      </c>
      <c r="G22" s="660">
        <f t="shared" si="0"/>
        <v>0</v>
      </c>
      <c r="H22" s="728">
        <f t="shared" si="0"/>
        <v>1943</v>
      </c>
      <c r="I22" s="661"/>
      <c r="J22" s="720">
        <v>4063</v>
      </c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>
        <f t="shared" si="1"/>
        <v>0</v>
      </c>
    </row>
    <row r="23" spans="1:26" ht="14.45" customHeight="1" x14ac:dyDescent="0.25">
      <c r="A23" s="721" t="s">
        <v>310</v>
      </c>
      <c r="B23" s="660" t="s">
        <v>115</v>
      </c>
      <c r="C23" s="660">
        <v>13</v>
      </c>
      <c r="D23" s="661">
        <v>20877</v>
      </c>
      <c r="E23" s="713">
        <v>13</v>
      </c>
      <c r="F23" s="714">
        <v>17854.25</v>
      </c>
      <c r="G23" s="660">
        <f t="shared" si="0"/>
        <v>0</v>
      </c>
      <c r="H23" s="728">
        <f t="shared" si="0"/>
        <v>-3022.75</v>
      </c>
      <c r="I23" s="661"/>
      <c r="J23" s="720">
        <v>4000</v>
      </c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>
        <f t="shared" si="1"/>
        <v>0</v>
      </c>
    </row>
    <row r="24" spans="1:26" ht="14.45" customHeight="1" x14ac:dyDescent="0.25">
      <c r="A24" s="721" t="s">
        <v>309</v>
      </c>
      <c r="B24" s="660" t="s">
        <v>115</v>
      </c>
      <c r="C24" s="660">
        <v>10</v>
      </c>
      <c r="D24" s="661">
        <v>9912.4</v>
      </c>
      <c r="E24" s="713">
        <v>10</v>
      </c>
      <c r="F24" s="714">
        <v>10310</v>
      </c>
      <c r="G24" s="660">
        <f t="shared" si="0"/>
        <v>0</v>
      </c>
      <c r="H24" s="728">
        <f t="shared" si="0"/>
        <v>397.60000000000036</v>
      </c>
      <c r="I24" s="661"/>
      <c r="J24" s="720">
        <v>4000</v>
      </c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>
        <f t="shared" si="1"/>
        <v>0</v>
      </c>
    </row>
    <row r="25" spans="1:26" ht="14.45" customHeight="1" x14ac:dyDescent="0.25">
      <c r="A25" s="721" t="s">
        <v>33</v>
      </c>
      <c r="B25" s="660" t="s">
        <v>115</v>
      </c>
      <c r="C25" s="660">
        <v>9</v>
      </c>
      <c r="D25" s="661">
        <v>15926.4</v>
      </c>
      <c r="E25" s="713">
        <v>9</v>
      </c>
      <c r="F25" s="714">
        <v>15237</v>
      </c>
      <c r="G25" s="660">
        <f t="shared" si="0"/>
        <v>0</v>
      </c>
      <c r="H25" s="728">
        <f t="shared" si="0"/>
        <v>-689.39999999999964</v>
      </c>
      <c r="I25" s="661"/>
      <c r="J25" s="720">
        <v>4120</v>
      </c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>
        <f t="shared" si="1"/>
        <v>0</v>
      </c>
    </row>
    <row r="26" spans="1:26" ht="14.45" hidden="1" customHeight="1" x14ac:dyDescent="0.25">
      <c r="A26" s="722" t="s">
        <v>255</v>
      </c>
      <c r="B26" s="659" t="s">
        <v>115</v>
      </c>
      <c r="C26" s="660">
        <v>1</v>
      </c>
      <c r="D26" s="661">
        <v>1643</v>
      </c>
      <c r="E26" s="713">
        <v>1</v>
      </c>
      <c r="F26" s="714">
        <v>1643</v>
      </c>
      <c r="G26" s="660">
        <f t="shared" si="0"/>
        <v>0</v>
      </c>
      <c r="H26" s="661">
        <f t="shared" si="0"/>
        <v>0</v>
      </c>
      <c r="I26" s="661"/>
      <c r="J26" s="661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>
        <f t="shared" si="1"/>
        <v>0</v>
      </c>
    </row>
    <row r="27" spans="1:26" ht="14.45" customHeight="1" x14ac:dyDescent="0.25">
      <c r="A27" s="721" t="s">
        <v>1423</v>
      </c>
      <c r="B27" s="659" t="s">
        <v>61</v>
      </c>
      <c r="C27" s="660">
        <v>3</v>
      </c>
      <c r="D27" s="661">
        <v>4785</v>
      </c>
      <c r="E27" s="713">
        <v>3</v>
      </c>
      <c r="F27" s="714">
        <v>4929</v>
      </c>
      <c r="G27" s="660">
        <f t="shared" si="0"/>
        <v>0</v>
      </c>
      <c r="H27" s="728">
        <f t="shared" si="0"/>
        <v>144</v>
      </c>
      <c r="I27" s="661"/>
      <c r="J27" s="720">
        <v>1972</v>
      </c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>
        <f t="shared" si="1"/>
        <v>0</v>
      </c>
    </row>
    <row r="28" spans="1:26" ht="14.45" customHeight="1" x14ac:dyDescent="0.25">
      <c r="A28" s="721" t="s">
        <v>259</v>
      </c>
      <c r="B28" s="660" t="s">
        <v>115</v>
      </c>
      <c r="C28" s="660">
        <v>6</v>
      </c>
      <c r="D28" s="661">
        <v>2662</v>
      </c>
      <c r="E28" s="713">
        <v>6</v>
      </c>
      <c r="F28" s="714">
        <v>2280</v>
      </c>
      <c r="G28" s="660">
        <f t="shared" si="0"/>
        <v>0</v>
      </c>
      <c r="H28" s="728">
        <f t="shared" si="0"/>
        <v>-382</v>
      </c>
      <c r="I28" s="661"/>
      <c r="J28" s="720">
        <v>912.4</v>
      </c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>
        <f t="shared" si="1"/>
        <v>0</v>
      </c>
    </row>
    <row r="29" spans="1:26" ht="14.45" customHeight="1" x14ac:dyDescent="0.25">
      <c r="A29" s="722" t="s">
        <v>1411</v>
      </c>
      <c r="B29" s="659" t="s">
        <v>115</v>
      </c>
      <c r="C29" s="660">
        <v>3</v>
      </c>
      <c r="D29" s="661">
        <v>6850</v>
      </c>
      <c r="E29" s="713">
        <v>3</v>
      </c>
      <c r="F29" s="714">
        <v>6850</v>
      </c>
      <c r="G29" s="660">
        <f t="shared" si="0"/>
        <v>0</v>
      </c>
      <c r="H29" s="728">
        <f t="shared" si="0"/>
        <v>0</v>
      </c>
      <c r="I29" s="661"/>
      <c r="J29" s="72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>
        <f t="shared" si="1"/>
        <v>0</v>
      </c>
    </row>
    <row r="30" spans="1:26" ht="14.45" customHeight="1" x14ac:dyDescent="0.25">
      <c r="A30" s="721" t="s">
        <v>387</v>
      </c>
      <c r="B30" s="660" t="s">
        <v>115</v>
      </c>
      <c r="C30" s="660">
        <v>11</v>
      </c>
      <c r="D30" s="661">
        <v>18073</v>
      </c>
      <c r="E30" s="713">
        <v>11</v>
      </c>
      <c r="F30" s="714">
        <v>18623</v>
      </c>
      <c r="G30" s="660">
        <f t="shared" si="0"/>
        <v>0</v>
      </c>
      <c r="H30" s="728">
        <f t="shared" si="0"/>
        <v>550</v>
      </c>
      <c r="I30" s="661"/>
      <c r="J30" s="720">
        <v>7449</v>
      </c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>
        <f t="shared" si="1"/>
        <v>0</v>
      </c>
    </row>
    <row r="31" spans="1:26" ht="14.45" customHeight="1" x14ac:dyDescent="0.25">
      <c r="A31" s="721" t="s">
        <v>117</v>
      </c>
      <c r="B31" s="659" t="s">
        <v>115</v>
      </c>
      <c r="C31" s="660">
        <v>5</v>
      </c>
      <c r="D31" s="661">
        <f>8215+1643</f>
        <v>9858</v>
      </c>
      <c r="E31" s="713">
        <v>6</v>
      </c>
      <c r="F31" s="714">
        <v>10158</v>
      </c>
      <c r="G31" s="660">
        <f t="shared" si="0"/>
        <v>1</v>
      </c>
      <c r="H31" s="728">
        <f t="shared" si="0"/>
        <v>300</v>
      </c>
      <c r="I31" s="661"/>
      <c r="J31" s="720">
        <v>4063</v>
      </c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>
        <f t="shared" si="1"/>
        <v>0</v>
      </c>
    </row>
    <row r="32" spans="1:26" ht="14.45" customHeight="1" x14ac:dyDescent="0.25">
      <c r="A32" s="721" t="s">
        <v>280</v>
      </c>
      <c r="B32" s="659" t="s">
        <v>61</v>
      </c>
      <c r="C32" s="660">
        <v>7</v>
      </c>
      <c r="D32" s="661">
        <v>7676</v>
      </c>
      <c r="E32" s="713">
        <v>7</v>
      </c>
      <c r="F32" s="714">
        <v>9053.5</v>
      </c>
      <c r="G32" s="660">
        <f t="shared" si="0"/>
        <v>0</v>
      </c>
      <c r="H32" s="728">
        <f t="shared" si="0"/>
        <v>1377.5</v>
      </c>
      <c r="I32" s="661"/>
      <c r="J32" s="720">
        <v>3622</v>
      </c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>
        <f t="shared" si="1"/>
        <v>0</v>
      </c>
    </row>
    <row r="33" spans="1:26" ht="14.45" customHeight="1" x14ac:dyDescent="0.25">
      <c r="A33" s="721" t="s">
        <v>1257</v>
      </c>
      <c r="B33" s="659" t="s">
        <v>115</v>
      </c>
      <c r="C33" s="660">
        <v>2</v>
      </c>
      <c r="D33" s="661">
        <v>5486</v>
      </c>
      <c r="E33" s="713">
        <v>2</v>
      </c>
      <c r="F33" s="714">
        <v>5586</v>
      </c>
      <c r="G33" s="660">
        <f t="shared" si="0"/>
        <v>0</v>
      </c>
      <c r="H33" s="728">
        <f t="shared" si="0"/>
        <v>100</v>
      </c>
      <c r="I33" s="661"/>
      <c r="J33" s="720">
        <v>1354</v>
      </c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>
        <f t="shared" si="1"/>
        <v>0</v>
      </c>
    </row>
    <row r="34" spans="1:26" ht="14.45" customHeight="1" x14ac:dyDescent="0.25">
      <c r="A34" s="721" t="s">
        <v>252</v>
      </c>
      <c r="B34" s="660" t="s">
        <v>115</v>
      </c>
      <c r="C34" s="660">
        <v>7</v>
      </c>
      <c r="D34" s="661">
        <v>9858</v>
      </c>
      <c r="E34" s="713">
        <v>7</v>
      </c>
      <c r="F34" s="714">
        <v>11851</v>
      </c>
      <c r="G34" s="660">
        <f t="shared" si="0"/>
        <v>0</v>
      </c>
      <c r="H34" s="728">
        <f t="shared" si="0"/>
        <v>1993</v>
      </c>
      <c r="I34" s="661"/>
      <c r="J34" s="720">
        <v>4740</v>
      </c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>
        <f t="shared" si="1"/>
        <v>0</v>
      </c>
    </row>
    <row r="35" spans="1:26" ht="14.45" customHeight="1" x14ac:dyDescent="0.25">
      <c r="A35" s="721" t="s">
        <v>254</v>
      </c>
      <c r="B35" s="660" t="s">
        <v>115</v>
      </c>
      <c r="C35" s="660">
        <v>9</v>
      </c>
      <c r="D35" s="661">
        <v>14022</v>
      </c>
      <c r="E35" s="713">
        <v>9</v>
      </c>
      <c r="F35" s="714">
        <v>15237</v>
      </c>
      <c r="G35" s="660">
        <f t="shared" ref="G35:H66" si="2">E35-C35</f>
        <v>0</v>
      </c>
      <c r="H35" s="728">
        <f t="shared" si="2"/>
        <v>1215</v>
      </c>
      <c r="I35" s="661"/>
      <c r="J35" s="720">
        <v>4120</v>
      </c>
      <c r="K35" s="660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>
        <f t="shared" si="1"/>
        <v>0</v>
      </c>
    </row>
    <row r="36" spans="1:26" ht="14.45" customHeight="1" x14ac:dyDescent="0.25">
      <c r="A36" s="721" t="s">
        <v>225</v>
      </c>
      <c r="B36" s="660" t="s">
        <v>115</v>
      </c>
      <c r="C36" s="660">
        <v>11</v>
      </c>
      <c r="D36" s="661">
        <v>13217.4</v>
      </c>
      <c r="E36" s="713">
        <v>11</v>
      </c>
      <c r="F36" s="714">
        <v>18623</v>
      </c>
      <c r="G36" s="660">
        <f t="shared" si="2"/>
        <v>0</v>
      </c>
      <c r="H36" s="728">
        <f t="shared" si="2"/>
        <v>5405.6</v>
      </c>
      <c r="I36" s="661"/>
      <c r="J36" s="720">
        <v>4120</v>
      </c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>
        <f t="shared" si="1"/>
        <v>0</v>
      </c>
    </row>
    <row r="37" spans="1:26" ht="14.45" customHeight="1" x14ac:dyDescent="0.25">
      <c r="A37" s="721" t="s">
        <v>194</v>
      </c>
      <c r="B37" s="659" t="s">
        <v>61</v>
      </c>
      <c r="C37" s="660">
        <v>9</v>
      </c>
      <c r="D37" s="661">
        <v>15344</v>
      </c>
      <c r="E37" s="713">
        <v>9</v>
      </c>
      <c r="F37" s="714">
        <v>17437</v>
      </c>
      <c r="G37" s="660">
        <f t="shared" si="2"/>
        <v>0</v>
      </c>
      <c r="H37" s="728">
        <f t="shared" si="2"/>
        <v>2093</v>
      </c>
      <c r="I37" s="661"/>
      <c r="J37" s="720">
        <v>6095</v>
      </c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>
        <f t="shared" si="1"/>
        <v>0</v>
      </c>
    </row>
    <row r="38" spans="1:26" ht="14.45" customHeight="1" x14ac:dyDescent="0.25">
      <c r="A38" s="721" t="s">
        <v>118</v>
      </c>
      <c r="B38" s="659" t="s">
        <v>115</v>
      </c>
      <c r="C38" s="660">
        <v>2</v>
      </c>
      <c r="D38" s="661">
        <v>3286</v>
      </c>
      <c r="E38" s="713">
        <v>2</v>
      </c>
      <c r="F38" s="714">
        <v>3386</v>
      </c>
      <c r="G38" s="660">
        <f t="shared" si="2"/>
        <v>0</v>
      </c>
      <c r="H38" s="728">
        <f t="shared" si="2"/>
        <v>100</v>
      </c>
      <c r="I38" s="661"/>
      <c r="J38" s="720">
        <v>1354</v>
      </c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>
        <f t="shared" si="1"/>
        <v>0</v>
      </c>
    </row>
    <row r="39" spans="1:26" ht="14.45" customHeight="1" x14ac:dyDescent="0.25">
      <c r="A39" s="723" t="s">
        <v>1394</v>
      </c>
      <c r="B39" s="660" t="s">
        <v>115</v>
      </c>
      <c r="C39" s="660">
        <v>7</v>
      </c>
      <c r="D39" s="661">
        <v>11464</v>
      </c>
      <c r="E39" s="713">
        <v>7</v>
      </c>
      <c r="F39" s="714">
        <v>11851</v>
      </c>
      <c r="G39" s="660">
        <f t="shared" si="2"/>
        <v>0</v>
      </c>
      <c r="H39" s="728">
        <f t="shared" si="2"/>
        <v>387</v>
      </c>
      <c r="I39" s="661"/>
      <c r="J39" s="720">
        <v>4120</v>
      </c>
      <c r="K39" s="660"/>
      <c r="L39" s="660"/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>
        <f t="shared" si="1"/>
        <v>0</v>
      </c>
    </row>
    <row r="40" spans="1:26" ht="14.45" customHeight="1" x14ac:dyDescent="0.25">
      <c r="A40" s="722" t="s">
        <v>1427</v>
      </c>
      <c r="B40" s="659" t="s">
        <v>115</v>
      </c>
      <c r="C40" s="660">
        <v>3</v>
      </c>
      <c r="D40" s="661">
        <v>4785</v>
      </c>
      <c r="E40" s="713">
        <v>3</v>
      </c>
      <c r="F40" s="714">
        <v>4929</v>
      </c>
      <c r="G40" s="660">
        <f t="shared" si="2"/>
        <v>0</v>
      </c>
      <c r="H40" s="728">
        <f t="shared" si="2"/>
        <v>144</v>
      </c>
      <c r="I40" s="661"/>
      <c r="J40" s="661">
        <v>1971</v>
      </c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>
        <f t="shared" si="1"/>
        <v>0</v>
      </c>
    </row>
    <row r="41" spans="1:26" ht="14.45" customHeight="1" x14ac:dyDescent="0.25">
      <c r="A41" s="566" t="s">
        <v>1850</v>
      </c>
      <c r="B41" s="537" t="s">
        <v>100</v>
      </c>
      <c r="C41" s="660">
        <v>8</v>
      </c>
      <c r="D41" s="661">
        <v>13701</v>
      </c>
      <c r="E41" s="660">
        <v>6</v>
      </c>
      <c r="F41" s="661">
        <f>8872+2200+1643</f>
        <v>12715</v>
      </c>
      <c r="G41" s="660">
        <f t="shared" si="2"/>
        <v>-2</v>
      </c>
      <c r="H41" s="728">
        <f t="shared" si="2"/>
        <v>-986</v>
      </c>
      <c r="I41" s="661"/>
      <c r="J41" s="661">
        <f>F41*0.4</f>
        <v>5086</v>
      </c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>
        <f t="shared" si="1"/>
        <v>0</v>
      </c>
    </row>
    <row r="42" spans="1:26" ht="15" hidden="1" customHeight="1" x14ac:dyDescent="0.25">
      <c r="A42" s="659"/>
      <c r="B42" s="659"/>
      <c r="C42" s="660"/>
      <c r="D42" s="661"/>
      <c r="E42" s="660"/>
      <c r="F42" s="661"/>
      <c r="G42" s="660">
        <f t="shared" si="2"/>
        <v>0</v>
      </c>
      <c r="H42" s="661">
        <f t="shared" si="2"/>
        <v>0</v>
      </c>
      <c r="I42" s="661"/>
      <c r="J42" s="661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>
        <f t="shared" si="1"/>
        <v>0</v>
      </c>
    </row>
    <row r="43" spans="1:26" ht="15" hidden="1" customHeight="1" x14ac:dyDescent="0.25">
      <c r="A43" s="659"/>
      <c r="B43" s="659"/>
      <c r="C43" s="659"/>
      <c r="D43" s="661"/>
      <c r="E43" s="660"/>
      <c r="F43" s="661"/>
      <c r="G43" s="660">
        <f t="shared" si="2"/>
        <v>0</v>
      </c>
      <c r="H43" s="661">
        <f t="shared" si="2"/>
        <v>0</v>
      </c>
      <c r="I43" s="661"/>
      <c r="J43" s="661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>
        <f t="shared" si="1"/>
        <v>0</v>
      </c>
    </row>
    <row r="44" spans="1:26" ht="15" hidden="1" customHeight="1" x14ac:dyDescent="0.25">
      <c r="A44" s="659"/>
      <c r="B44" s="659"/>
      <c r="C44" s="660"/>
      <c r="D44" s="661"/>
      <c r="E44" s="660"/>
      <c r="F44" s="661"/>
      <c r="G44" s="660">
        <f t="shared" si="2"/>
        <v>0</v>
      </c>
      <c r="H44" s="661">
        <f t="shared" si="2"/>
        <v>0</v>
      </c>
      <c r="I44" s="661"/>
      <c r="J44" s="661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>
        <f t="shared" si="1"/>
        <v>0</v>
      </c>
    </row>
    <row r="45" spans="1:26" ht="15" hidden="1" customHeight="1" x14ac:dyDescent="0.25">
      <c r="A45" s="659"/>
      <c r="B45" s="659"/>
      <c r="C45" s="660"/>
      <c r="D45" s="661"/>
      <c r="E45" s="660"/>
      <c r="F45" s="661"/>
      <c r="G45" s="660">
        <f t="shared" si="2"/>
        <v>0</v>
      </c>
      <c r="H45" s="661">
        <f t="shared" si="2"/>
        <v>0</v>
      </c>
      <c r="I45" s="661"/>
      <c r="J45" s="661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>
        <f t="shared" si="1"/>
        <v>0</v>
      </c>
    </row>
    <row r="46" spans="1:26" ht="15" hidden="1" customHeight="1" x14ac:dyDescent="0.25">
      <c r="A46" s="659"/>
      <c r="B46" s="659"/>
      <c r="C46" s="660"/>
      <c r="D46" s="661"/>
      <c r="E46" s="660"/>
      <c r="F46" s="661"/>
      <c r="G46" s="660">
        <f t="shared" si="2"/>
        <v>0</v>
      </c>
      <c r="H46" s="661">
        <f t="shared" si="2"/>
        <v>0</v>
      </c>
      <c r="I46" s="661"/>
      <c r="J46" s="661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>
        <f t="shared" si="1"/>
        <v>0</v>
      </c>
    </row>
    <row r="47" spans="1:26" ht="15" hidden="1" customHeight="1" x14ac:dyDescent="0.25">
      <c r="A47" s="659"/>
      <c r="B47" s="659"/>
      <c r="C47" s="660"/>
      <c r="D47" s="661"/>
      <c r="E47" s="660"/>
      <c r="F47" s="661"/>
      <c r="G47" s="660">
        <f t="shared" si="2"/>
        <v>0</v>
      </c>
      <c r="H47" s="661">
        <f t="shared" si="2"/>
        <v>0</v>
      </c>
      <c r="I47" s="661"/>
      <c r="J47" s="661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>
        <f t="shared" si="1"/>
        <v>0</v>
      </c>
    </row>
    <row r="48" spans="1:26" ht="15" hidden="1" customHeight="1" x14ac:dyDescent="0.25">
      <c r="A48" s="660"/>
      <c r="B48" s="659"/>
      <c r="C48" s="660"/>
      <c r="D48" s="661"/>
      <c r="E48" s="660"/>
      <c r="F48" s="661"/>
      <c r="G48" s="660">
        <f t="shared" si="2"/>
        <v>0</v>
      </c>
      <c r="H48" s="661">
        <f t="shared" si="2"/>
        <v>0</v>
      </c>
      <c r="I48" s="661"/>
      <c r="J48" s="661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>
        <f t="shared" si="1"/>
        <v>0</v>
      </c>
    </row>
    <row r="49" spans="1:26" ht="15" hidden="1" customHeight="1" x14ac:dyDescent="0.25">
      <c r="A49" s="659"/>
      <c r="B49" s="659"/>
      <c r="C49" s="659"/>
      <c r="D49" s="661"/>
      <c r="E49" s="659"/>
      <c r="F49" s="661"/>
      <c r="G49" s="660">
        <f t="shared" si="2"/>
        <v>0</v>
      </c>
      <c r="H49" s="661">
        <f t="shared" si="2"/>
        <v>0</v>
      </c>
      <c r="I49" s="661"/>
      <c r="J49" s="661"/>
      <c r="K49" s="660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>
        <f t="shared" si="1"/>
        <v>0</v>
      </c>
    </row>
    <row r="50" spans="1:26" ht="15" hidden="1" customHeight="1" x14ac:dyDescent="0.25">
      <c r="A50" s="659"/>
      <c r="B50" s="659"/>
      <c r="C50" s="659"/>
      <c r="D50" s="661"/>
      <c r="E50" s="659"/>
      <c r="F50" s="661"/>
      <c r="G50" s="660">
        <f t="shared" si="2"/>
        <v>0</v>
      </c>
      <c r="H50" s="661">
        <f t="shared" si="2"/>
        <v>0</v>
      </c>
      <c r="I50" s="661"/>
      <c r="J50" s="661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>
        <f t="shared" si="1"/>
        <v>0</v>
      </c>
    </row>
    <row r="51" spans="1:26" ht="15" hidden="1" customHeight="1" x14ac:dyDescent="0.25">
      <c r="A51" s="659"/>
      <c r="B51" s="659"/>
      <c r="C51" s="659"/>
      <c r="D51" s="661"/>
      <c r="E51" s="659"/>
      <c r="F51" s="661"/>
      <c r="G51" s="660">
        <f t="shared" si="2"/>
        <v>0</v>
      </c>
      <c r="H51" s="661">
        <f t="shared" si="2"/>
        <v>0</v>
      </c>
      <c r="I51" s="661"/>
      <c r="J51" s="661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>
        <f t="shared" si="1"/>
        <v>0</v>
      </c>
    </row>
    <row r="52" spans="1:26" ht="15" hidden="1" customHeight="1" x14ac:dyDescent="0.25">
      <c r="A52" s="659"/>
      <c r="B52" s="659"/>
      <c r="C52" s="659"/>
      <c r="D52" s="661"/>
      <c r="E52" s="659"/>
      <c r="F52" s="661"/>
      <c r="G52" s="660">
        <f t="shared" si="2"/>
        <v>0</v>
      </c>
      <c r="H52" s="661">
        <f t="shared" si="2"/>
        <v>0</v>
      </c>
      <c r="I52" s="661"/>
      <c r="J52" s="661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>
        <f t="shared" si="1"/>
        <v>0</v>
      </c>
    </row>
    <row r="53" spans="1:26" ht="15" hidden="1" customHeight="1" x14ac:dyDescent="0.25">
      <c r="A53" s="659"/>
      <c r="B53" s="659"/>
      <c r="C53" s="659"/>
      <c r="D53" s="661"/>
      <c r="E53" s="659"/>
      <c r="F53" s="661"/>
      <c r="G53" s="660">
        <f t="shared" si="2"/>
        <v>0</v>
      </c>
      <c r="H53" s="661">
        <f t="shared" si="2"/>
        <v>0</v>
      </c>
      <c r="I53" s="661"/>
      <c r="J53" s="661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>
        <f t="shared" si="1"/>
        <v>0</v>
      </c>
    </row>
    <row r="54" spans="1:26" ht="15" hidden="1" customHeight="1" x14ac:dyDescent="0.25">
      <c r="A54" s="659"/>
      <c r="B54" s="659"/>
      <c r="C54" s="659"/>
      <c r="D54" s="661"/>
      <c r="E54" s="659"/>
      <c r="F54" s="661"/>
      <c r="G54" s="660">
        <f t="shared" si="2"/>
        <v>0</v>
      </c>
      <c r="H54" s="661">
        <f t="shared" si="2"/>
        <v>0</v>
      </c>
      <c r="I54" s="661"/>
      <c r="J54" s="661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0"/>
      <c r="Y54" s="660"/>
      <c r="Z54" s="660">
        <f t="shared" si="1"/>
        <v>0</v>
      </c>
    </row>
    <row r="55" spans="1:26" ht="15" hidden="1" customHeight="1" x14ac:dyDescent="0.25">
      <c r="A55" s="659"/>
      <c r="B55" s="659"/>
      <c r="C55" s="659"/>
      <c r="D55" s="661"/>
      <c r="E55" s="659"/>
      <c r="F55" s="661"/>
      <c r="G55" s="660">
        <f t="shared" si="2"/>
        <v>0</v>
      </c>
      <c r="H55" s="661">
        <f t="shared" si="2"/>
        <v>0</v>
      </c>
      <c r="I55" s="661"/>
      <c r="J55" s="661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660"/>
      <c r="X55" s="660"/>
      <c r="Y55" s="660"/>
      <c r="Z55" s="660">
        <f t="shared" si="1"/>
        <v>0</v>
      </c>
    </row>
    <row r="56" spans="1:26" ht="15" hidden="1" customHeight="1" x14ac:dyDescent="0.25">
      <c r="A56" s="659"/>
      <c r="B56" s="659"/>
      <c r="C56" s="660"/>
      <c r="D56" s="661"/>
      <c r="E56" s="660"/>
      <c r="F56" s="661"/>
      <c r="G56" s="660">
        <f t="shared" si="2"/>
        <v>0</v>
      </c>
      <c r="H56" s="661">
        <f t="shared" si="2"/>
        <v>0</v>
      </c>
      <c r="I56" s="661"/>
      <c r="J56" s="661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660"/>
      <c r="X56" s="660"/>
      <c r="Y56" s="660"/>
      <c r="Z56" s="660">
        <f t="shared" si="1"/>
        <v>0</v>
      </c>
    </row>
    <row r="57" spans="1:26" ht="15" hidden="1" customHeight="1" x14ac:dyDescent="0.25">
      <c r="A57" s="659"/>
      <c r="B57" s="659"/>
      <c r="C57" s="660"/>
      <c r="D57" s="661"/>
      <c r="E57" s="660"/>
      <c r="F57" s="661"/>
      <c r="G57" s="660">
        <f t="shared" si="2"/>
        <v>0</v>
      </c>
      <c r="H57" s="661">
        <f t="shared" si="2"/>
        <v>0</v>
      </c>
      <c r="I57" s="661"/>
      <c r="J57" s="661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>
        <f t="shared" si="1"/>
        <v>0</v>
      </c>
    </row>
    <row r="58" spans="1:26" ht="15" hidden="1" customHeight="1" x14ac:dyDescent="0.25">
      <c r="A58" s="659"/>
      <c r="B58" s="659"/>
      <c r="C58" s="660"/>
      <c r="D58" s="661"/>
      <c r="E58" s="660"/>
      <c r="F58" s="661"/>
      <c r="G58" s="660">
        <f t="shared" si="2"/>
        <v>0</v>
      </c>
      <c r="H58" s="661">
        <f t="shared" si="2"/>
        <v>0</v>
      </c>
      <c r="I58" s="661"/>
      <c r="J58" s="661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>
        <f t="shared" si="1"/>
        <v>0</v>
      </c>
    </row>
    <row r="59" spans="1:26" ht="15" hidden="1" customHeight="1" x14ac:dyDescent="0.25">
      <c r="A59" s="659"/>
      <c r="B59" s="659"/>
      <c r="C59" s="660"/>
      <c r="D59" s="661"/>
      <c r="E59" s="660"/>
      <c r="F59" s="661"/>
      <c r="G59" s="660">
        <f t="shared" si="2"/>
        <v>0</v>
      </c>
      <c r="H59" s="661">
        <f t="shared" si="2"/>
        <v>0</v>
      </c>
      <c r="I59" s="661"/>
      <c r="J59" s="661"/>
      <c r="K59" s="660"/>
      <c r="L59" s="660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>
        <f t="shared" si="1"/>
        <v>0</v>
      </c>
    </row>
    <row r="60" spans="1:26" ht="15" hidden="1" customHeight="1" x14ac:dyDescent="0.25">
      <c r="A60" s="659"/>
      <c r="B60" s="659"/>
      <c r="C60" s="660"/>
      <c r="D60" s="661"/>
      <c r="E60" s="660"/>
      <c r="F60" s="661"/>
      <c r="G60" s="660">
        <f t="shared" si="2"/>
        <v>0</v>
      </c>
      <c r="H60" s="661">
        <f t="shared" si="2"/>
        <v>0</v>
      </c>
      <c r="I60" s="661"/>
      <c r="J60" s="661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0"/>
      <c r="Y60" s="660"/>
      <c r="Z60" s="660">
        <f t="shared" si="1"/>
        <v>0</v>
      </c>
    </row>
    <row r="61" spans="1:26" ht="15" hidden="1" customHeight="1" x14ac:dyDescent="0.25">
      <c r="A61" s="659"/>
      <c r="B61" s="659"/>
      <c r="C61" s="660"/>
      <c r="D61" s="661"/>
      <c r="E61" s="660"/>
      <c r="F61" s="661"/>
      <c r="G61" s="660">
        <f t="shared" si="2"/>
        <v>0</v>
      </c>
      <c r="H61" s="661">
        <f t="shared" si="2"/>
        <v>0</v>
      </c>
      <c r="I61" s="661"/>
      <c r="J61" s="661"/>
      <c r="K61" s="660"/>
      <c r="L61" s="660"/>
      <c r="M61" s="660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>
        <f t="shared" si="1"/>
        <v>0</v>
      </c>
    </row>
    <row r="62" spans="1:26" ht="15" hidden="1" customHeight="1" x14ac:dyDescent="0.25">
      <c r="A62" s="659"/>
      <c r="B62" s="659"/>
      <c r="C62" s="660"/>
      <c r="D62" s="661"/>
      <c r="E62" s="660"/>
      <c r="F62" s="661"/>
      <c r="G62" s="660">
        <f t="shared" si="2"/>
        <v>0</v>
      </c>
      <c r="H62" s="661">
        <f t="shared" si="2"/>
        <v>0</v>
      </c>
      <c r="I62" s="661"/>
      <c r="J62" s="661"/>
      <c r="K62" s="660"/>
      <c r="L62" s="660"/>
      <c r="M62" s="660"/>
      <c r="N62" s="660"/>
      <c r="O62" s="660"/>
      <c r="P62" s="660"/>
      <c r="Q62" s="660"/>
      <c r="R62" s="660"/>
      <c r="S62" s="660"/>
      <c r="T62" s="660"/>
      <c r="U62" s="660"/>
      <c r="V62" s="660"/>
      <c r="W62" s="660"/>
      <c r="X62" s="660"/>
      <c r="Y62" s="660"/>
      <c r="Z62" s="660">
        <f t="shared" si="1"/>
        <v>0</v>
      </c>
    </row>
    <row r="63" spans="1:26" ht="15" hidden="1" customHeight="1" x14ac:dyDescent="0.25">
      <c r="A63" s="659"/>
      <c r="B63" s="659"/>
      <c r="C63" s="660"/>
      <c r="D63" s="661"/>
      <c r="E63" s="660"/>
      <c r="F63" s="661"/>
      <c r="G63" s="660">
        <f t="shared" si="2"/>
        <v>0</v>
      </c>
      <c r="H63" s="661">
        <f t="shared" si="2"/>
        <v>0</v>
      </c>
      <c r="I63" s="661"/>
      <c r="J63" s="661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>
        <f t="shared" si="1"/>
        <v>0</v>
      </c>
    </row>
    <row r="64" spans="1:26" ht="15" hidden="1" customHeight="1" x14ac:dyDescent="0.25">
      <c r="A64" s="659"/>
      <c r="B64" s="659"/>
      <c r="C64" s="660"/>
      <c r="D64" s="661"/>
      <c r="E64" s="660"/>
      <c r="F64" s="661"/>
      <c r="G64" s="660">
        <f t="shared" si="2"/>
        <v>0</v>
      </c>
      <c r="H64" s="661">
        <f t="shared" si="2"/>
        <v>0</v>
      </c>
      <c r="I64" s="661"/>
      <c r="J64" s="661"/>
      <c r="K64" s="660"/>
      <c r="L64" s="660"/>
      <c r="M64" s="660"/>
      <c r="N64" s="660"/>
      <c r="O64" s="660"/>
      <c r="P64" s="660"/>
      <c r="Q64" s="660"/>
      <c r="R64" s="660"/>
      <c r="S64" s="660"/>
      <c r="T64" s="660"/>
      <c r="U64" s="660"/>
      <c r="V64" s="660"/>
      <c r="W64" s="660"/>
      <c r="X64" s="660"/>
      <c r="Y64" s="660"/>
      <c r="Z64" s="660">
        <f t="shared" si="1"/>
        <v>0</v>
      </c>
    </row>
    <row r="65" spans="1:26" ht="15" hidden="1" customHeight="1" x14ac:dyDescent="0.25">
      <c r="A65" s="659"/>
      <c r="B65" s="659"/>
      <c r="C65" s="660"/>
      <c r="D65" s="661"/>
      <c r="E65" s="660"/>
      <c r="F65" s="661"/>
      <c r="G65" s="660">
        <f t="shared" si="2"/>
        <v>0</v>
      </c>
      <c r="H65" s="661">
        <f t="shared" si="2"/>
        <v>0</v>
      </c>
      <c r="I65" s="661"/>
      <c r="J65" s="661"/>
      <c r="K65" s="660"/>
      <c r="L65" s="660"/>
      <c r="M65" s="660"/>
      <c r="N65" s="660"/>
      <c r="O65" s="660"/>
      <c r="P65" s="660"/>
      <c r="Q65" s="660"/>
      <c r="R65" s="660"/>
      <c r="S65" s="660"/>
      <c r="T65" s="660"/>
      <c r="U65" s="660"/>
      <c r="V65" s="660"/>
      <c r="W65" s="660"/>
      <c r="X65" s="660"/>
      <c r="Y65" s="660"/>
      <c r="Z65" s="660">
        <f t="shared" si="1"/>
        <v>0</v>
      </c>
    </row>
    <row r="66" spans="1:26" ht="15" hidden="1" customHeight="1" x14ac:dyDescent="0.25">
      <c r="A66" s="659"/>
      <c r="B66" s="659"/>
      <c r="C66" s="660"/>
      <c r="D66" s="661"/>
      <c r="E66" s="660"/>
      <c r="F66" s="661"/>
      <c r="G66" s="660">
        <f t="shared" si="2"/>
        <v>0</v>
      </c>
      <c r="H66" s="661">
        <f t="shared" si="2"/>
        <v>0</v>
      </c>
      <c r="I66" s="661"/>
      <c r="J66" s="661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0"/>
      <c r="Y66" s="660"/>
      <c r="Z66" s="660">
        <f t="shared" si="1"/>
        <v>0</v>
      </c>
    </row>
    <row r="67" spans="1:26" ht="15" hidden="1" customHeight="1" x14ac:dyDescent="0.25">
      <c r="A67" s="659"/>
      <c r="B67" s="659"/>
      <c r="C67" s="660"/>
      <c r="D67" s="661"/>
      <c r="E67" s="660"/>
      <c r="F67" s="661"/>
      <c r="G67" s="660">
        <f t="shared" ref="G67:H81" si="3">E67-C67</f>
        <v>0</v>
      </c>
      <c r="H67" s="661">
        <f t="shared" si="3"/>
        <v>0</v>
      </c>
      <c r="I67" s="661"/>
      <c r="J67" s="661"/>
      <c r="K67" s="660"/>
      <c r="L67" s="660"/>
      <c r="M67" s="660"/>
      <c r="N67" s="660"/>
      <c r="O67" s="660"/>
      <c r="P67" s="660"/>
      <c r="Q67" s="660"/>
      <c r="R67" s="660"/>
      <c r="S67" s="660"/>
      <c r="T67" s="660"/>
      <c r="U67" s="660"/>
      <c r="V67" s="660"/>
      <c r="W67" s="660"/>
      <c r="X67" s="660"/>
      <c r="Y67" s="660"/>
      <c r="Z67" s="660">
        <f t="shared" ref="Z67:Z81" si="4">SUM(K67:Y67)</f>
        <v>0</v>
      </c>
    </row>
    <row r="68" spans="1:26" ht="15" hidden="1" customHeight="1" x14ac:dyDescent="0.25">
      <c r="A68" s="659"/>
      <c r="B68" s="659"/>
      <c r="C68" s="660"/>
      <c r="D68" s="661"/>
      <c r="E68" s="660"/>
      <c r="F68" s="661"/>
      <c r="G68" s="660">
        <f t="shared" si="3"/>
        <v>0</v>
      </c>
      <c r="H68" s="661">
        <f t="shared" si="3"/>
        <v>0</v>
      </c>
      <c r="I68" s="661"/>
      <c r="J68" s="661"/>
      <c r="K68" s="660"/>
      <c r="L68" s="660"/>
      <c r="M68" s="660"/>
      <c r="N68" s="660"/>
      <c r="O68" s="660"/>
      <c r="P68" s="660"/>
      <c r="Q68" s="660"/>
      <c r="R68" s="660"/>
      <c r="S68" s="660"/>
      <c r="T68" s="660"/>
      <c r="U68" s="660"/>
      <c r="V68" s="660"/>
      <c r="W68" s="660"/>
      <c r="X68" s="660"/>
      <c r="Y68" s="660"/>
      <c r="Z68" s="660">
        <f t="shared" si="4"/>
        <v>0</v>
      </c>
    </row>
    <row r="69" spans="1:26" ht="15" hidden="1" customHeight="1" x14ac:dyDescent="0.25">
      <c r="A69" s="659"/>
      <c r="B69" s="659"/>
      <c r="C69" s="660"/>
      <c r="D69" s="661"/>
      <c r="E69" s="660"/>
      <c r="F69" s="661"/>
      <c r="G69" s="660">
        <f t="shared" si="3"/>
        <v>0</v>
      </c>
      <c r="H69" s="661">
        <f t="shared" si="3"/>
        <v>0</v>
      </c>
      <c r="I69" s="661"/>
      <c r="J69" s="661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0"/>
      <c r="Y69" s="660"/>
      <c r="Z69" s="660">
        <f t="shared" si="4"/>
        <v>0</v>
      </c>
    </row>
    <row r="70" spans="1:26" ht="15" hidden="1" customHeight="1" x14ac:dyDescent="0.25">
      <c r="A70" s="659"/>
      <c r="B70" s="659"/>
      <c r="C70" s="660"/>
      <c r="D70" s="661"/>
      <c r="E70" s="660"/>
      <c r="F70" s="661"/>
      <c r="G70" s="660">
        <f t="shared" si="3"/>
        <v>0</v>
      </c>
      <c r="H70" s="661">
        <f t="shared" si="3"/>
        <v>0</v>
      </c>
      <c r="I70" s="661"/>
      <c r="J70" s="661"/>
      <c r="K70" s="660"/>
      <c r="L70" s="660"/>
      <c r="M70" s="660"/>
      <c r="N70" s="660"/>
      <c r="O70" s="660"/>
      <c r="P70" s="660"/>
      <c r="Q70" s="660"/>
      <c r="R70" s="660"/>
      <c r="S70" s="660"/>
      <c r="T70" s="660"/>
      <c r="U70" s="660"/>
      <c r="V70" s="660"/>
      <c r="W70" s="660"/>
      <c r="X70" s="660"/>
      <c r="Y70" s="660"/>
      <c r="Z70" s="660">
        <f t="shared" si="4"/>
        <v>0</v>
      </c>
    </row>
    <row r="71" spans="1:26" ht="15" hidden="1" customHeight="1" x14ac:dyDescent="0.25">
      <c r="A71" s="666"/>
      <c r="B71" s="659"/>
      <c r="C71" s="660"/>
      <c r="D71" s="661"/>
      <c r="E71" s="660"/>
      <c r="F71" s="661"/>
      <c r="G71" s="660">
        <f t="shared" si="3"/>
        <v>0</v>
      </c>
      <c r="H71" s="661">
        <f t="shared" si="3"/>
        <v>0</v>
      </c>
      <c r="I71" s="661"/>
      <c r="J71" s="661"/>
      <c r="K71" s="660"/>
      <c r="L71" s="660"/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660"/>
      <c r="X71" s="660"/>
      <c r="Y71" s="660"/>
      <c r="Z71" s="660">
        <f t="shared" si="4"/>
        <v>0</v>
      </c>
    </row>
    <row r="72" spans="1:26" ht="15" hidden="1" customHeight="1" x14ac:dyDescent="0.25">
      <c r="A72" s="659"/>
      <c r="B72" s="659"/>
      <c r="C72" s="660"/>
      <c r="D72" s="661"/>
      <c r="E72" s="660"/>
      <c r="F72" s="661"/>
      <c r="G72" s="660">
        <f t="shared" si="3"/>
        <v>0</v>
      </c>
      <c r="H72" s="661">
        <f t="shared" si="3"/>
        <v>0</v>
      </c>
      <c r="I72" s="661"/>
      <c r="J72" s="661"/>
      <c r="K72" s="660"/>
      <c r="L72" s="660"/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660"/>
      <c r="X72" s="660"/>
      <c r="Y72" s="660"/>
      <c r="Z72" s="660">
        <f t="shared" si="4"/>
        <v>0</v>
      </c>
    </row>
    <row r="73" spans="1:26" ht="15" hidden="1" customHeight="1" x14ac:dyDescent="0.25">
      <c r="A73" s="666"/>
      <c r="B73" s="659"/>
      <c r="C73" s="660"/>
      <c r="D73" s="661"/>
      <c r="E73" s="660"/>
      <c r="F73" s="661"/>
      <c r="G73" s="660">
        <f t="shared" si="3"/>
        <v>0</v>
      </c>
      <c r="H73" s="661">
        <f t="shared" si="3"/>
        <v>0</v>
      </c>
      <c r="I73" s="661"/>
      <c r="J73" s="661"/>
      <c r="K73" s="660"/>
      <c r="L73" s="660"/>
      <c r="M73" s="660"/>
      <c r="N73" s="660"/>
      <c r="O73" s="660"/>
      <c r="P73" s="660"/>
      <c r="Q73" s="660"/>
      <c r="R73" s="660"/>
      <c r="S73" s="660"/>
      <c r="T73" s="660"/>
      <c r="U73" s="660"/>
      <c r="V73" s="660"/>
      <c r="W73" s="660"/>
      <c r="X73" s="660"/>
      <c r="Y73" s="660"/>
      <c r="Z73" s="660">
        <f t="shared" si="4"/>
        <v>0</v>
      </c>
    </row>
    <row r="74" spans="1:26" ht="15" hidden="1" customHeight="1" x14ac:dyDescent="0.25">
      <c r="A74" s="659"/>
      <c r="B74" s="659"/>
      <c r="C74" s="660"/>
      <c r="D74" s="661"/>
      <c r="E74" s="660"/>
      <c r="F74" s="661"/>
      <c r="G74" s="660">
        <f t="shared" si="3"/>
        <v>0</v>
      </c>
      <c r="H74" s="661">
        <f t="shared" si="3"/>
        <v>0</v>
      </c>
      <c r="I74" s="661"/>
      <c r="J74" s="661"/>
      <c r="K74" s="660"/>
      <c r="L74" s="660"/>
      <c r="M74" s="660"/>
      <c r="N74" s="660"/>
      <c r="O74" s="660"/>
      <c r="P74" s="660"/>
      <c r="Q74" s="660"/>
      <c r="R74" s="660"/>
      <c r="S74" s="660"/>
      <c r="T74" s="660"/>
      <c r="U74" s="660"/>
      <c r="V74" s="660"/>
      <c r="W74" s="660"/>
      <c r="X74" s="660"/>
      <c r="Y74" s="660"/>
      <c r="Z74" s="660">
        <f t="shared" si="4"/>
        <v>0</v>
      </c>
    </row>
    <row r="75" spans="1:26" ht="15" hidden="1" customHeight="1" x14ac:dyDescent="0.25">
      <c r="A75" s="663"/>
      <c r="B75" s="659"/>
      <c r="C75" s="660"/>
      <c r="D75" s="661"/>
      <c r="E75" s="660"/>
      <c r="F75" s="661"/>
      <c r="G75" s="660">
        <f t="shared" si="3"/>
        <v>0</v>
      </c>
      <c r="H75" s="661">
        <f t="shared" si="3"/>
        <v>0</v>
      </c>
      <c r="I75" s="661"/>
      <c r="J75" s="661"/>
      <c r="K75" s="660"/>
      <c r="L75" s="660"/>
      <c r="M75" s="660"/>
      <c r="N75" s="660"/>
      <c r="O75" s="660"/>
      <c r="P75" s="660"/>
      <c r="Q75" s="660"/>
      <c r="R75" s="660"/>
      <c r="S75" s="660"/>
      <c r="T75" s="660"/>
      <c r="U75" s="660"/>
      <c r="V75" s="660"/>
      <c r="W75" s="660"/>
      <c r="X75" s="660"/>
      <c r="Y75" s="660"/>
      <c r="Z75" s="660">
        <f t="shared" si="4"/>
        <v>0</v>
      </c>
    </row>
    <row r="76" spans="1:26" ht="15" hidden="1" customHeight="1" x14ac:dyDescent="0.25">
      <c r="A76" s="659"/>
      <c r="B76" s="659"/>
      <c r="C76" s="660"/>
      <c r="D76" s="661"/>
      <c r="E76" s="660"/>
      <c r="F76" s="661"/>
      <c r="G76" s="660">
        <f t="shared" si="3"/>
        <v>0</v>
      </c>
      <c r="H76" s="661">
        <f t="shared" si="3"/>
        <v>0</v>
      </c>
      <c r="I76" s="661"/>
      <c r="J76" s="661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660"/>
      <c r="Z76" s="660">
        <f t="shared" si="4"/>
        <v>0</v>
      </c>
    </row>
    <row r="77" spans="1:26" ht="15" hidden="1" customHeight="1" x14ac:dyDescent="0.25">
      <c r="A77" s="659"/>
      <c r="B77" s="659"/>
      <c r="C77" s="660"/>
      <c r="D77" s="661"/>
      <c r="E77" s="660"/>
      <c r="F77" s="661"/>
      <c r="G77" s="660">
        <f t="shared" si="3"/>
        <v>0</v>
      </c>
      <c r="H77" s="661">
        <f t="shared" si="3"/>
        <v>0</v>
      </c>
      <c r="I77" s="661"/>
      <c r="J77" s="661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660"/>
      <c r="Z77" s="660">
        <f t="shared" si="4"/>
        <v>0</v>
      </c>
    </row>
    <row r="78" spans="1:26" ht="15" hidden="1" customHeight="1" x14ac:dyDescent="0.25">
      <c r="A78" s="659"/>
      <c r="B78" s="659"/>
      <c r="C78" s="660"/>
      <c r="D78" s="661"/>
      <c r="E78" s="660"/>
      <c r="F78" s="661"/>
      <c r="G78" s="660">
        <f t="shared" si="3"/>
        <v>0</v>
      </c>
      <c r="H78" s="661">
        <f t="shared" si="3"/>
        <v>0</v>
      </c>
      <c r="I78" s="661"/>
      <c r="J78" s="661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>
        <f t="shared" si="4"/>
        <v>0</v>
      </c>
    </row>
    <row r="79" spans="1:26" ht="15" hidden="1" customHeight="1" x14ac:dyDescent="0.25">
      <c r="A79" s="659"/>
      <c r="B79" s="659"/>
      <c r="C79" s="659"/>
      <c r="D79" s="661"/>
      <c r="E79" s="660"/>
      <c r="F79" s="661"/>
      <c r="G79" s="660">
        <f t="shared" si="3"/>
        <v>0</v>
      </c>
      <c r="H79" s="661">
        <f t="shared" si="3"/>
        <v>0</v>
      </c>
      <c r="I79" s="661"/>
      <c r="J79" s="661"/>
      <c r="K79" s="660"/>
      <c r="L79" s="660"/>
      <c r="M79" s="660"/>
      <c r="N79" s="660"/>
      <c r="O79" s="660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660">
        <f t="shared" si="4"/>
        <v>0</v>
      </c>
    </row>
    <row r="80" spans="1:26" ht="15" hidden="1" customHeight="1" x14ac:dyDescent="0.25">
      <c r="A80" s="659"/>
      <c r="B80" s="659"/>
      <c r="C80" s="659"/>
      <c r="D80" s="661"/>
      <c r="E80" s="660"/>
      <c r="F80" s="661"/>
      <c r="G80" s="660">
        <f t="shared" si="3"/>
        <v>0</v>
      </c>
      <c r="H80" s="661">
        <f t="shared" si="3"/>
        <v>0</v>
      </c>
      <c r="I80" s="661"/>
      <c r="J80" s="661"/>
      <c r="K80" s="660"/>
      <c r="L80" s="660"/>
      <c r="M80" s="660"/>
      <c r="N80" s="660"/>
      <c r="O80" s="660"/>
      <c r="P80" s="660"/>
      <c r="Q80" s="660"/>
      <c r="R80" s="660"/>
      <c r="S80" s="660"/>
      <c r="T80" s="660"/>
      <c r="U80" s="660"/>
      <c r="V80" s="660"/>
      <c r="W80" s="660"/>
      <c r="X80" s="660"/>
      <c r="Y80" s="660"/>
      <c r="Z80" s="660">
        <f t="shared" si="4"/>
        <v>0</v>
      </c>
    </row>
    <row r="81" spans="1:26" ht="15" customHeight="1" x14ac:dyDescent="0.25">
      <c r="A81" s="660"/>
      <c r="B81" s="660"/>
      <c r="C81" s="660"/>
      <c r="D81" s="661"/>
      <c r="E81" s="660"/>
      <c r="F81" s="661"/>
      <c r="G81" s="660">
        <f t="shared" si="3"/>
        <v>0</v>
      </c>
      <c r="H81" s="661">
        <f t="shared" si="3"/>
        <v>0</v>
      </c>
      <c r="I81" s="661"/>
      <c r="J81" s="661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660"/>
      <c r="X81" s="660"/>
      <c r="Y81" s="660"/>
      <c r="Z81" s="660">
        <f t="shared" si="4"/>
        <v>0</v>
      </c>
    </row>
    <row r="82" spans="1:26" ht="15" customHeight="1" x14ac:dyDescent="0.25">
      <c r="A82" s="667" t="s">
        <v>1221</v>
      </c>
      <c r="B82" s="668"/>
      <c r="C82" s="669">
        <f t="shared" ref="C82:Z82" si="5">SUM(C5:C81)</f>
        <v>219</v>
      </c>
      <c r="D82" s="670">
        <f t="shared" si="5"/>
        <v>316804.09999999998</v>
      </c>
      <c r="E82" s="669">
        <f t="shared" si="5"/>
        <v>218</v>
      </c>
      <c r="F82" s="670">
        <f t="shared" si="5"/>
        <v>334948.3</v>
      </c>
      <c r="G82" s="669">
        <f t="shared" si="5"/>
        <v>-1</v>
      </c>
      <c r="H82" s="670">
        <f>SUM(H5:H81)</f>
        <v>18144.199999999997</v>
      </c>
      <c r="I82" s="671">
        <f>SUM(I5:I81)</f>
        <v>0</v>
      </c>
      <c r="J82" s="669">
        <f t="shared" si="5"/>
        <v>115038.56</v>
      </c>
      <c r="K82" s="671">
        <f t="shared" si="5"/>
        <v>0</v>
      </c>
      <c r="L82" s="669">
        <f t="shared" si="5"/>
        <v>0</v>
      </c>
      <c r="M82" s="669">
        <f t="shared" si="5"/>
        <v>0</v>
      </c>
      <c r="N82" s="669">
        <f t="shared" si="5"/>
        <v>0</v>
      </c>
      <c r="O82" s="669">
        <f t="shared" si="5"/>
        <v>0</v>
      </c>
      <c r="P82" s="669">
        <f t="shared" si="5"/>
        <v>0</v>
      </c>
      <c r="Q82" s="669">
        <f t="shared" si="5"/>
        <v>0</v>
      </c>
      <c r="R82" s="669">
        <f t="shared" si="5"/>
        <v>0</v>
      </c>
      <c r="S82" s="669">
        <f t="shared" si="5"/>
        <v>0</v>
      </c>
      <c r="T82" s="669">
        <f t="shared" si="5"/>
        <v>0</v>
      </c>
      <c r="U82" s="669">
        <f t="shared" si="5"/>
        <v>0</v>
      </c>
      <c r="V82" s="669">
        <f t="shared" si="5"/>
        <v>0</v>
      </c>
      <c r="W82" s="669">
        <f t="shared" si="5"/>
        <v>0</v>
      </c>
      <c r="X82" s="669">
        <f t="shared" si="5"/>
        <v>0</v>
      </c>
      <c r="Y82" s="669">
        <f t="shared" si="5"/>
        <v>0</v>
      </c>
      <c r="Z82" s="669">
        <f t="shared" si="5"/>
        <v>0</v>
      </c>
    </row>
    <row r="84" spans="1:26" x14ac:dyDescent="0.25">
      <c r="A84" s="743" t="s">
        <v>1227</v>
      </c>
      <c r="B84" s="743"/>
    </row>
    <row r="85" spans="1:26" ht="30" x14ac:dyDescent="0.25">
      <c r="A85" s="672" t="s">
        <v>1</v>
      </c>
      <c r="B85" s="672"/>
      <c r="C85" s="673" t="s">
        <v>1222</v>
      </c>
      <c r="D85" s="673" t="s">
        <v>1223</v>
      </c>
      <c r="E85" s="673" t="s">
        <v>392</v>
      </c>
      <c r="F85" s="674" t="s">
        <v>2</v>
      </c>
      <c r="G85" s="675" t="s">
        <v>1225</v>
      </c>
      <c r="H85" s="676" t="s">
        <v>1224</v>
      </c>
      <c r="I85" s="676" t="s">
        <v>1498</v>
      </c>
      <c r="J85" s="676" t="s">
        <v>94</v>
      </c>
      <c r="K85" s="677" t="s">
        <v>681</v>
      </c>
      <c r="L85" s="677" t="s">
        <v>1496</v>
      </c>
      <c r="M85" s="677" t="s">
        <v>1497</v>
      </c>
      <c r="N85" s="677" t="s">
        <v>682</v>
      </c>
      <c r="O85" s="677" t="s">
        <v>683</v>
      </c>
      <c r="P85" s="677" t="s">
        <v>87</v>
      </c>
      <c r="Q85" s="677" t="s">
        <v>684</v>
      </c>
      <c r="R85" s="677" t="s">
        <v>685</v>
      </c>
      <c r="S85" s="677" t="s">
        <v>690</v>
      </c>
      <c r="T85" s="677" t="s">
        <v>686</v>
      </c>
      <c r="U85" s="677" t="s">
        <v>687</v>
      </c>
      <c r="V85" s="677" t="s">
        <v>688</v>
      </c>
      <c r="W85" s="677" t="s">
        <v>689</v>
      </c>
      <c r="X85" s="677" t="s">
        <v>138</v>
      </c>
      <c r="Y85" s="677" t="s">
        <v>1385</v>
      </c>
      <c r="Z85" s="677" t="s">
        <v>1238</v>
      </c>
    </row>
    <row r="86" spans="1:26" ht="15" customHeight="1" x14ac:dyDescent="0.25">
      <c r="A86" s="566" t="s">
        <v>1842</v>
      </c>
      <c r="B86" s="496" t="s">
        <v>100</v>
      </c>
      <c r="C86" s="679">
        <v>42817</v>
      </c>
      <c r="D86" s="680">
        <v>43031</v>
      </c>
      <c r="E86" s="681">
        <v>210</v>
      </c>
      <c r="F86" s="680">
        <v>43009</v>
      </c>
      <c r="G86" s="681">
        <v>6</v>
      </c>
      <c r="H86" s="729">
        <v>11072</v>
      </c>
      <c r="I86" s="726">
        <v>7800</v>
      </c>
      <c r="J86" s="727">
        <v>3549</v>
      </c>
      <c r="K86" s="664">
        <v>1</v>
      </c>
      <c r="L86" s="664">
        <v>1</v>
      </c>
      <c r="M86" s="664"/>
      <c r="N86" s="664">
        <v>1</v>
      </c>
      <c r="O86" s="664"/>
      <c r="P86" s="664">
        <v>1</v>
      </c>
      <c r="Q86" s="664">
        <v>1</v>
      </c>
      <c r="R86" s="664">
        <v>1</v>
      </c>
      <c r="S86" s="664"/>
      <c r="T86" s="664"/>
      <c r="U86" s="664"/>
      <c r="V86" s="664"/>
      <c r="W86" s="664"/>
      <c r="X86" s="664"/>
      <c r="Y86" s="664"/>
      <c r="Z86" s="664">
        <f>SUM(K86:Y86)</f>
        <v>6</v>
      </c>
    </row>
    <row r="87" spans="1:26" ht="15" customHeight="1" x14ac:dyDescent="0.25">
      <c r="A87" s="678"/>
      <c r="B87" s="664"/>
      <c r="C87" s="679"/>
      <c r="D87" s="680"/>
      <c r="E87" s="681"/>
      <c r="F87" s="680"/>
      <c r="G87" s="681"/>
      <c r="H87" s="727"/>
      <c r="I87" s="727"/>
      <c r="J87" s="727"/>
      <c r="K87" s="664"/>
      <c r="L87" s="664"/>
      <c r="M87" s="664"/>
      <c r="N87" s="664"/>
      <c r="O87" s="664"/>
      <c r="P87" s="664"/>
      <c r="Q87" s="664"/>
      <c r="R87" s="664"/>
      <c r="S87" s="664"/>
      <c r="T87" s="664"/>
      <c r="U87" s="664"/>
      <c r="V87" s="664"/>
      <c r="W87" s="664"/>
      <c r="X87" s="664"/>
      <c r="Y87" s="664"/>
      <c r="Z87" s="664"/>
    </row>
    <row r="88" spans="1:26" ht="15" customHeight="1" x14ac:dyDescent="0.25">
      <c r="A88" s="663"/>
      <c r="B88" s="660"/>
      <c r="C88" s="682"/>
      <c r="D88" s="683"/>
      <c r="E88" s="684"/>
      <c r="F88" s="683"/>
      <c r="G88" s="684"/>
      <c r="H88" s="661"/>
      <c r="I88" s="661"/>
      <c r="J88" s="661"/>
      <c r="K88" s="660"/>
      <c r="L88" s="660"/>
      <c r="M88" s="660"/>
      <c r="N88" s="660"/>
      <c r="O88" s="660"/>
      <c r="P88" s="660"/>
      <c r="Q88" s="660"/>
      <c r="R88" s="660"/>
      <c r="S88" s="660"/>
      <c r="T88" s="660"/>
      <c r="U88" s="660"/>
      <c r="V88" s="660"/>
      <c r="W88" s="660"/>
      <c r="X88" s="660"/>
      <c r="Y88" s="660"/>
      <c r="Z88" s="664"/>
    </row>
    <row r="89" spans="1:26" x14ac:dyDescent="0.25">
      <c r="A89" s="663"/>
      <c r="B89" s="660"/>
      <c r="C89" s="682"/>
      <c r="D89" s="683"/>
      <c r="E89" s="684"/>
      <c r="F89" s="683"/>
      <c r="G89" s="684"/>
      <c r="H89" s="661"/>
      <c r="I89" s="661"/>
      <c r="J89" s="661"/>
      <c r="K89" s="660"/>
      <c r="L89" s="660"/>
      <c r="M89" s="660"/>
      <c r="N89" s="660"/>
      <c r="O89" s="660"/>
      <c r="P89" s="660"/>
      <c r="Q89" s="660"/>
      <c r="R89" s="660"/>
      <c r="S89" s="660"/>
      <c r="T89" s="660"/>
      <c r="U89" s="660"/>
      <c r="V89" s="660"/>
      <c r="W89" s="660"/>
      <c r="X89" s="660"/>
      <c r="Y89" s="660"/>
      <c r="Z89" s="664"/>
    </row>
    <row r="90" spans="1:26" ht="15" customHeight="1" x14ac:dyDescent="0.25">
      <c r="A90" s="663"/>
      <c r="B90" s="660"/>
      <c r="C90" s="682"/>
      <c r="D90" s="683"/>
      <c r="E90" s="684"/>
      <c r="F90" s="683"/>
      <c r="G90" s="684"/>
      <c r="H90" s="661"/>
      <c r="I90" s="661"/>
      <c r="J90" s="661"/>
      <c r="K90" s="660"/>
      <c r="L90" s="660"/>
      <c r="M90" s="660"/>
      <c r="N90" s="660"/>
      <c r="O90" s="660"/>
      <c r="P90" s="660"/>
      <c r="Q90" s="660"/>
      <c r="R90" s="660"/>
      <c r="S90" s="660"/>
      <c r="T90" s="660"/>
      <c r="U90" s="660"/>
      <c r="V90" s="660"/>
      <c r="W90" s="660"/>
      <c r="X90" s="660"/>
      <c r="Y90" s="660"/>
      <c r="Z90" s="664">
        <f t="shared" ref="Z90:Z93" si="6">SUM(K90:Y90)</f>
        <v>0</v>
      </c>
    </row>
    <row r="91" spans="1:26" ht="15" customHeight="1" x14ac:dyDescent="0.25">
      <c r="A91" s="663"/>
      <c r="B91" s="660"/>
      <c r="C91" s="682"/>
      <c r="D91" s="683"/>
      <c r="E91" s="684"/>
      <c r="F91" s="683"/>
      <c r="G91" s="684"/>
      <c r="H91" s="661"/>
      <c r="I91" s="661"/>
      <c r="J91" s="661"/>
      <c r="K91" s="660"/>
      <c r="L91" s="660"/>
      <c r="M91" s="660"/>
      <c r="N91" s="660"/>
      <c r="O91" s="660"/>
      <c r="P91" s="660"/>
      <c r="Q91" s="660"/>
      <c r="R91" s="660"/>
      <c r="S91" s="660"/>
      <c r="T91" s="660"/>
      <c r="U91" s="660"/>
      <c r="V91" s="660"/>
      <c r="W91" s="660"/>
      <c r="X91" s="660"/>
      <c r="Y91" s="660"/>
      <c r="Z91" s="664">
        <f t="shared" si="6"/>
        <v>0</v>
      </c>
    </row>
    <row r="92" spans="1:26" ht="15" customHeight="1" x14ac:dyDescent="0.25">
      <c r="A92" s="663"/>
      <c r="B92" s="660"/>
      <c r="C92" s="682"/>
      <c r="D92" s="683"/>
      <c r="E92" s="684"/>
      <c r="F92" s="683"/>
      <c r="G92" s="684"/>
      <c r="H92" s="661"/>
      <c r="I92" s="725"/>
      <c r="J92" s="725"/>
      <c r="K92" s="660"/>
      <c r="L92" s="660"/>
      <c r="M92" s="660"/>
      <c r="N92" s="660"/>
      <c r="O92" s="660"/>
      <c r="P92" s="660"/>
      <c r="Q92" s="660"/>
      <c r="R92" s="660"/>
      <c r="S92" s="660"/>
      <c r="T92" s="660"/>
      <c r="U92" s="660"/>
      <c r="V92" s="660"/>
      <c r="W92" s="660"/>
      <c r="X92" s="660"/>
      <c r="Y92" s="660"/>
      <c r="Z92" s="664">
        <f t="shared" si="6"/>
        <v>0</v>
      </c>
    </row>
    <row r="93" spans="1:26" ht="15" customHeight="1" x14ac:dyDescent="0.25">
      <c r="A93" s="663"/>
      <c r="B93" s="660"/>
      <c r="C93" s="682"/>
      <c r="D93" s="683"/>
      <c r="E93" s="684"/>
      <c r="F93" s="683"/>
      <c r="G93" s="684"/>
      <c r="H93" s="661"/>
      <c r="I93" s="725"/>
      <c r="J93" s="725"/>
      <c r="K93" s="660"/>
      <c r="L93" s="660"/>
      <c r="M93" s="660"/>
      <c r="N93" s="660"/>
      <c r="O93" s="660"/>
      <c r="P93" s="660"/>
      <c r="Q93" s="660"/>
      <c r="R93" s="660"/>
      <c r="S93" s="660"/>
      <c r="T93" s="660"/>
      <c r="U93" s="660"/>
      <c r="V93" s="660"/>
      <c r="W93" s="660"/>
      <c r="X93" s="660"/>
      <c r="Y93" s="660"/>
      <c r="Z93" s="664">
        <f t="shared" si="6"/>
        <v>0</v>
      </c>
    </row>
    <row r="94" spans="1:26" ht="15" customHeight="1" x14ac:dyDescent="0.25">
      <c r="A94" s="667" t="s">
        <v>1226</v>
      </c>
      <c r="B94" s="668"/>
      <c r="C94" s="687"/>
      <c r="D94" s="688"/>
      <c r="E94" s="669"/>
      <c r="F94" s="688"/>
      <c r="G94" s="669">
        <f>SUM(G92:G93)</f>
        <v>0</v>
      </c>
      <c r="H94" s="670">
        <f>SUM(H86:H93)</f>
        <v>11072</v>
      </c>
      <c r="I94" s="670">
        <f t="shared" ref="I94:J94" si="7">SUM(I86:I93)</f>
        <v>7800</v>
      </c>
      <c r="J94" s="670">
        <f t="shared" si="7"/>
        <v>3549</v>
      </c>
      <c r="K94" s="669">
        <f>SUM(K86:K93)</f>
        <v>1</v>
      </c>
      <c r="L94" s="669">
        <f t="shared" ref="L94:Z94" si="8">SUM(L86:L93)</f>
        <v>1</v>
      </c>
      <c r="M94" s="669">
        <f t="shared" si="8"/>
        <v>0</v>
      </c>
      <c r="N94" s="669">
        <f t="shared" si="8"/>
        <v>1</v>
      </c>
      <c r="O94" s="669">
        <f t="shared" si="8"/>
        <v>0</v>
      </c>
      <c r="P94" s="669">
        <f t="shared" si="8"/>
        <v>1</v>
      </c>
      <c r="Q94" s="669">
        <f t="shared" si="8"/>
        <v>1</v>
      </c>
      <c r="R94" s="669">
        <f t="shared" si="8"/>
        <v>1</v>
      </c>
      <c r="S94" s="669">
        <f t="shared" si="8"/>
        <v>0</v>
      </c>
      <c r="T94" s="669">
        <f t="shared" si="8"/>
        <v>0</v>
      </c>
      <c r="U94" s="669">
        <f t="shared" si="8"/>
        <v>0</v>
      </c>
      <c r="V94" s="669">
        <f t="shared" si="8"/>
        <v>0</v>
      </c>
      <c r="W94" s="669">
        <f t="shared" si="8"/>
        <v>0</v>
      </c>
      <c r="X94" s="669">
        <f t="shared" si="8"/>
        <v>0</v>
      </c>
      <c r="Y94" s="669">
        <f t="shared" si="8"/>
        <v>0</v>
      </c>
      <c r="Z94" s="669">
        <f t="shared" si="8"/>
        <v>6</v>
      </c>
    </row>
    <row r="95" spans="1:26" ht="15" customHeight="1" x14ac:dyDescent="0.25">
      <c r="A95" s="689"/>
      <c r="B95" s="690"/>
      <c r="C95" s="690"/>
      <c r="D95" s="691"/>
      <c r="E95" s="690"/>
      <c r="F95" s="691"/>
      <c r="G95" s="692"/>
      <c r="H95" s="690"/>
      <c r="I95" s="690"/>
      <c r="J95" s="690"/>
    </row>
    <row r="96" spans="1:26" x14ac:dyDescent="0.25">
      <c r="A96" s="743" t="s">
        <v>1228</v>
      </c>
      <c r="B96" s="743"/>
      <c r="G96" s="693"/>
    </row>
    <row r="97" spans="1:26" ht="30" x14ac:dyDescent="0.25">
      <c r="A97" s="657" t="s">
        <v>1</v>
      </c>
      <c r="B97" s="657" t="s">
        <v>59</v>
      </c>
      <c r="C97" s="694" t="s">
        <v>1222</v>
      </c>
      <c r="D97" s="694" t="s">
        <v>1223</v>
      </c>
      <c r="E97" s="694" t="s">
        <v>392</v>
      </c>
      <c r="F97" s="695" t="s">
        <v>2</v>
      </c>
      <c r="G97" s="696" t="s">
        <v>1225</v>
      </c>
      <c r="H97" s="697" t="s">
        <v>1224</v>
      </c>
      <c r="I97" s="697" t="s">
        <v>1498</v>
      </c>
      <c r="J97" s="697" t="s">
        <v>94</v>
      </c>
      <c r="K97" s="658" t="s">
        <v>681</v>
      </c>
      <c r="L97" s="658" t="s">
        <v>1496</v>
      </c>
      <c r="M97" s="658" t="s">
        <v>1497</v>
      </c>
      <c r="N97" s="658" t="s">
        <v>682</v>
      </c>
      <c r="O97" s="658" t="s">
        <v>683</v>
      </c>
      <c r="P97" s="658" t="s">
        <v>87</v>
      </c>
      <c r="Q97" s="658" t="s">
        <v>684</v>
      </c>
      <c r="R97" s="658" t="s">
        <v>685</v>
      </c>
      <c r="S97" s="658" t="s">
        <v>690</v>
      </c>
      <c r="T97" s="658" t="s">
        <v>686</v>
      </c>
      <c r="U97" s="658" t="s">
        <v>687</v>
      </c>
      <c r="V97" s="658" t="s">
        <v>688</v>
      </c>
      <c r="W97" s="658" t="s">
        <v>689</v>
      </c>
      <c r="X97" s="658" t="s">
        <v>138</v>
      </c>
      <c r="Y97" s="658" t="s">
        <v>1385</v>
      </c>
      <c r="Z97" s="658" t="s">
        <v>1238</v>
      </c>
    </row>
    <row r="98" spans="1:26" ht="15" customHeight="1" x14ac:dyDescent="0.25">
      <c r="A98" s="565" t="s">
        <v>1849</v>
      </c>
      <c r="B98" s="660" t="s">
        <v>115</v>
      </c>
      <c r="C98" s="682">
        <v>42996</v>
      </c>
      <c r="D98" s="683">
        <v>43019</v>
      </c>
      <c r="E98" s="684">
        <v>23</v>
      </c>
      <c r="F98" s="683">
        <v>43009</v>
      </c>
      <c r="G98" s="684">
        <v>1</v>
      </c>
      <c r="H98" s="728">
        <v>2063</v>
      </c>
      <c r="I98" s="685">
        <v>0</v>
      </c>
      <c r="J98" s="661">
        <f>H98*0.4</f>
        <v>825.2</v>
      </c>
      <c r="K98" s="660"/>
      <c r="L98" s="660"/>
      <c r="M98" s="660"/>
      <c r="N98" s="660"/>
      <c r="O98" s="660"/>
      <c r="P98" s="660"/>
      <c r="Q98" s="660">
        <v>1</v>
      </c>
      <c r="R98" s="660"/>
      <c r="S98" s="660"/>
      <c r="T98" s="660"/>
      <c r="U98" s="660"/>
      <c r="V98" s="660"/>
      <c r="W98" s="660"/>
      <c r="X98" s="660"/>
      <c r="Y98" s="660"/>
      <c r="Z98" s="660">
        <f>SUM(K98:Y98)</f>
        <v>1</v>
      </c>
    </row>
    <row r="99" spans="1:26" s="699" customFormat="1" ht="15" customHeight="1" x14ac:dyDescent="0.25">
      <c r="A99" s="565" t="s">
        <v>1262</v>
      </c>
      <c r="B99" s="535" t="s">
        <v>115</v>
      </c>
      <c r="C99" s="682">
        <v>43025</v>
      </c>
      <c r="D99" s="683">
        <v>43027</v>
      </c>
      <c r="E99" s="684">
        <v>2</v>
      </c>
      <c r="F99" s="683">
        <v>43009</v>
      </c>
      <c r="G99" s="684">
        <v>1</v>
      </c>
      <c r="H99" s="728">
        <v>1693</v>
      </c>
      <c r="I99" s="685">
        <v>0</v>
      </c>
      <c r="J99" s="661">
        <v>677</v>
      </c>
      <c r="K99" s="660"/>
      <c r="L99" s="660"/>
      <c r="M99" s="660"/>
      <c r="N99" s="660"/>
      <c r="O99" s="660"/>
      <c r="P99" s="660">
        <v>1</v>
      </c>
      <c r="Q99" s="660"/>
      <c r="R99" s="660"/>
      <c r="S99" s="660"/>
      <c r="T99" s="660"/>
      <c r="U99" s="660"/>
      <c r="V99" s="660"/>
      <c r="W99" s="660"/>
      <c r="X99" s="660"/>
      <c r="Y99" s="698"/>
      <c r="Z99" s="660">
        <f t="shared" ref="Z99:Z104" si="9">SUM(K99:Y99)</f>
        <v>1</v>
      </c>
    </row>
    <row r="100" spans="1:26" s="699" customFormat="1" ht="15" customHeight="1" x14ac:dyDescent="0.25">
      <c r="A100" s="565" t="s">
        <v>1846</v>
      </c>
      <c r="B100" s="535" t="s">
        <v>61</v>
      </c>
      <c r="C100" s="682">
        <v>42996</v>
      </c>
      <c r="D100" s="683">
        <v>43031</v>
      </c>
      <c r="E100" s="684">
        <v>35</v>
      </c>
      <c r="F100" s="683">
        <v>43031</v>
      </c>
      <c r="G100" s="684">
        <v>1</v>
      </c>
      <c r="H100" s="728">
        <v>1693</v>
      </c>
      <c r="I100" s="685">
        <v>0</v>
      </c>
      <c r="J100" s="661">
        <v>677</v>
      </c>
      <c r="K100" s="660"/>
      <c r="L100" s="660"/>
      <c r="M100" s="660"/>
      <c r="N100" s="660"/>
      <c r="O100" s="660"/>
      <c r="P100" s="660">
        <v>1</v>
      </c>
      <c r="Q100" s="660"/>
      <c r="R100" s="660"/>
      <c r="S100" s="660"/>
      <c r="T100" s="660"/>
      <c r="U100" s="660"/>
      <c r="V100" s="660"/>
      <c r="W100" s="660"/>
      <c r="X100" s="660"/>
      <c r="Y100" s="698"/>
      <c r="Z100" s="660">
        <f t="shared" si="9"/>
        <v>1</v>
      </c>
    </row>
    <row r="101" spans="1:26" s="699" customFormat="1" ht="15" customHeight="1" x14ac:dyDescent="0.25">
      <c r="A101" s="565" t="s">
        <v>1847</v>
      </c>
      <c r="B101" s="535" t="s">
        <v>61</v>
      </c>
      <c r="C101" s="682">
        <v>43021</v>
      </c>
      <c r="D101" s="683">
        <v>43032</v>
      </c>
      <c r="E101" s="684">
        <v>11</v>
      </c>
      <c r="F101" s="683">
        <v>43032</v>
      </c>
      <c r="G101" s="684">
        <v>1</v>
      </c>
      <c r="H101" s="728">
        <f>1643*0.95</f>
        <v>1560.85</v>
      </c>
      <c r="I101" s="685">
        <v>0</v>
      </c>
      <c r="J101" s="661">
        <f>657*0.95</f>
        <v>624.15</v>
      </c>
      <c r="K101" s="660"/>
      <c r="L101" s="660"/>
      <c r="M101" s="660"/>
      <c r="N101" s="660"/>
      <c r="O101" s="660"/>
      <c r="P101" s="660"/>
      <c r="Q101" s="660"/>
      <c r="R101" s="660"/>
      <c r="S101" s="660"/>
      <c r="T101" s="660"/>
      <c r="U101" s="660">
        <v>1</v>
      </c>
      <c r="V101" s="660"/>
      <c r="W101" s="660"/>
      <c r="X101" s="660"/>
      <c r="Y101" s="698"/>
      <c r="Z101" s="660">
        <f t="shared" si="9"/>
        <v>1</v>
      </c>
    </row>
    <row r="102" spans="1:26" s="699" customFormat="1" ht="15" customHeight="1" x14ac:dyDescent="0.25">
      <c r="A102" s="565" t="s">
        <v>1848</v>
      </c>
      <c r="B102" s="535" t="s">
        <v>61</v>
      </c>
      <c r="C102" s="682">
        <v>43021</v>
      </c>
      <c r="D102" s="683">
        <v>43032</v>
      </c>
      <c r="E102" s="684">
        <v>11</v>
      </c>
      <c r="F102" s="683">
        <v>43032</v>
      </c>
      <c r="G102" s="684">
        <v>3</v>
      </c>
      <c r="H102" s="728">
        <f>4929*0.95</f>
        <v>4682.55</v>
      </c>
      <c r="I102" s="685">
        <v>0</v>
      </c>
      <c r="J102" s="661">
        <f>1971*0.95</f>
        <v>1872.4499999999998</v>
      </c>
      <c r="K102" s="660"/>
      <c r="L102" s="660"/>
      <c r="M102" s="660"/>
      <c r="N102" s="660"/>
      <c r="O102" s="660"/>
      <c r="P102" s="660"/>
      <c r="Q102" s="660"/>
      <c r="R102" s="660"/>
      <c r="S102" s="660">
        <v>1</v>
      </c>
      <c r="T102" s="660"/>
      <c r="U102" s="660">
        <v>1</v>
      </c>
      <c r="V102" s="660">
        <v>1</v>
      </c>
      <c r="W102" s="660"/>
      <c r="X102" s="660"/>
      <c r="Y102" s="698"/>
      <c r="Z102" s="660">
        <f t="shared" si="9"/>
        <v>3</v>
      </c>
    </row>
    <row r="103" spans="1:26" s="699" customFormat="1" ht="15" customHeight="1" x14ac:dyDescent="0.25">
      <c r="A103" s="665"/>
      <c r="B103" s="698"/>
      <c r="C103" s="700"/>
      <c r="D103" s="701"/>
      <c r="E103" s="702"/>
      <c r="F103" s="701"/>
      <c r="G103" s="702"/>
      <c r="H103" s="686"/>
      <c r="I103" s="686"/>
      <c r="J103" s="725"/>
      <c r="K103" s="698"/>
      <c r="L103" s="698"/>
      <c r="M103" s="698"/>
      <c r="N103" s="698"/>
      <c r="O103" s="698"/>
      <c r="P103" s="698"/>
      <c r="Q103" s="698"/>
      <c r="R103" s="698"/>
      <c r="S103" s="698"/>
      <c r="T103" s="698"/>
      <c r="U103" s="698"/>
      <c r="V103" s="698"/>
      <c r="W103" s="698"/>
      <c r="X103" s="698"/>
      <c r="Y103" s="698"/>
      <c r="Z103" s="660">
        <f t="shared" si="9"/>
        <v>0</v>
      </c>
    </row>
    <row r="104" spans="1:26" s="699" customFormat="1" ht="15" customHeight="1" x14ac:dyDescent="0.25">
      <c r="A104" s="665"/>
      <c r="B104" s="698"/>
      <c r="C104" s="700"/>
      <c r="D104" s="701"/>
      <c r="E104" s="702"/>
      <c r="F104" s="701"/>
      <c r="G104" s="702"/>
      <c r="H104" s="686"/>
      <c r="I104" s="686"/>
      <c r="J104" s="725"/>
      <c r="K104" s="698"/>
      <c r="L104" s="698"/>
      <c r="M104" s="698"/>
      <c r="N104" s="698"/>
      <c r="O104" s="698"/>
      <c r="P104" s="698"/>
      <c r="Q104" s="698"/>
      <c r="R104" s="698"/>
      <c r="S104" s="698"/>
      <c r="T104" s="698"/>
      <c r="U104" s="698"/>
      <c r="V104" s="698"/>
      <c r="W104" s="698"/>
      <c r="X104" s="698"/>
      <c r="Y104" s="698"/>
      <c r="Z104" s="660">
        <f t="shared" si="9"/>
        <v>0</v>
      </c>
    </row>
    <row r="105" spans="1:26" ht="15" customHeight="1" x14ac:dyDescent="0.25">
      <c r="A105" s="667" t="s">
        <v>450</v>
      </c>
      <c r="B105" s="668"/>
      <c r="C105" s="687"/>
      <c r="D105" s="688"/>
      <c r="E105" s="669"/>
      <c r="F105" s="688"/>
      <c r="G105" s="669">
        <f t="shared" ref="G105:W105" si="10">SUM(G98:G104)</f>
        <v>7</v>
      </c>
      <c r="H105" s="670">
        <f t="shared" si="10"/>
        <v>11692.400000000001</v>
      </c>
      <c r="I105" s="671">
        <f t="shared" si="10"/>
        <v>0</v>
      </c>
      <c r="J105" s="670">
        <f t="shared" si="10"/>
        <v>4675.7999999999993</v>
      </c>
      <c r="K105" s="669">
        <f t="shared" si="10"/>
        <v>0</v>
      </c>
      <c r="L105" s="669">
        <f t="shared" si="10"/>
        <v>0</v>
      </c>
      <c r="M105" s="669">
        <f t="shared" si="10"/>
        <v>0</v>
      </c>
      <c r="N105" s="669">
        <f t="shared" si="10"/>
        <v>0</v>
      </c>
      <c r="O105" s="669">
        <f t="shared" si="10"/>
        <v>0</v>
      </c>
      <c r="P105" s="669">
        <f t="shared" si="10"/>
        <v>2</v>
      </c>
      <c r="Q105" s="669">
        <f t="shared" si="10"/>
        <v>1</v>
      </c>
      <c r="R105" s="669">
        <f t="shared" si="10"/>
        <v>0</v>
      </c>
      <c r="S105" s="669">
        <f t="shared" si="10"/>
        <v>1</v>
      </c>
      <c r="T105" s="669">
        <f t="shared" si="10"/>
        <v>0</v>
      </c>
      <c r="U105" s="669">
        <f t="shared" si="10"/>
        <v>2</v>
      </c>
      <c r="V105" s="669">
        <f t="shared" si="10"/>
        <v>1</v>
      </c>
      <c r="W105" s="669">
        <f t="shared" si="10"/>
        <v>0</v>
      </c>
      <c r="X105" s="669"/>
      <c r="Y105" s="669"/>
      <c r="Z105" s="669">
        <f>SUM(Z98:Z104)</f>
        <v>7</v>
      </c>
    </row>
    <row r="107" spans="1:26" x14ac:dyDescent="0.25">
      <c r="A107" s="743" t="s">
        <v>1229</v>
      </c>
      <c r="B107" s="743"/>
    </row>
    <row r="108" spans="1:26" ht="30" x14ac:dyDescent="0.25">
      <c r="A108" s="657" t="s">
        <v>1</v>
      </c>
      <c r="B108" s="657" t="s">
        <v>59</v>
      </c>
      <c r="C108" s="694"/>
      <c r="D108" s="694"/>
      <c r="E108" s="694"/>
      <c r="F108" s="695"/>
      <c r="G108" s="696" t="s">
        <v>1225</v>
      </c>
      <c r="H108" s="697" t="s">
        <v>1224</v>
      </c>
      <c r="I108" s="697" t="s">
        <v>1498</v>
      </c>
      <c r="J108" s="697" t="s">
        <v>94</v>
      </c>
      <c r="K108" s="658" t="s">
        <v>681</v>
      </c>
      <c r="L108" s="658" t="s">
        <v>1496</v>
      </c>
      <c r="M108" s="658" t="s">
        <v>1497</v>
      </c>
      <c r="N108" s="658" t="s">
        <v>682</v>
      </c>
      <c r="O108" s="658" t="s">
        <v>683</v>
      </c>
      <c r="P108" s="658" t="s">
        <v>87</v>
      </c>
      <c r="Q108" s="658" t="s">
        <v>684</v>
      </c>
      <c r="R108" s="658" t="s">
        <v>685</v>
      </c>
      <c r="S108" s="658" t="s">
        <v>690</v>
      </c>
      <c r="T108" s="658" t="s">
        <v>686</v>
      </c>
      <c r="U108" s="658" t="s">
        <v>687</v>
      </c>
      <c r="V108" s="658" t="s">
        <v>688</v>
      </c>
      <c r="W108" s="658" t="s">
        <v>689</v>
      </c>
      <c r="X108" s="658" t="s">
        <v>138</v>
      </c>
      <c r="Y108" s="658" t="s">
        <v>1385</v>
      </c>
      <c r="Z108" s="658" t="s">
        <v>1238</v>
      </c>
    </row>
    <row r="109" spans="1:26" s="699" customFormat="1" ht="15" customHeight="1" x14ac:dyDescent="0.25">
      <c r="A109" s="565" t="s">
        <v>1841</v>
      </c>
      <c r="B109" s="535" t="s">
        <v>115</v>
      </c>
      <c r="C109" s="682">
        <v>43012</v>
      </c>
      <c r="D109" s="683">
        <v>43025</v>
      </c>
      <c r="E109" s="684">
        <v>13</v>
      </c>
      <c r="F109" s="683">
        <v>43021</v>
      </c>
      <c r="G109" s="684">
        <v>-3</v>
      </c>
      <c r="H109" s="728">
        <v>-4124</v>
      </c>
      <c r="I109" s="685">
        <v>0</v>
      </c>
      <c r="J109" s="661">
        <v>-1833</v>
      </c>
      <c r="K109" s="660"/>
      <c r="L109" s="660"/>
      <c r="M109" s="660"/>
      <c r="N109" s="660"/>
      <c r="O109" s="660"/>
      <c r="P109" s="660"/>
      <c r="Q109" s="660"/>
      <c r="R109" s="660"/>
      <c r="S109" s="660"/>
      <c r="T109" s="660">
        <v>-1</v>
      </c>
      <c r="U109" s="660">
        <v>-1</v>
      </c>
      <c r="V109" s="660">
        <v>-1</v>
      </c>
      <c r="W109" s="660"/>
      <c r="X109" s="660"/>
      <c r="Y109" s="660"/>
      <c r="Z109" s="660">
        <f t="shared" ref="Z109:Z117" si="11">SUM(K109:Y109)</f>
        <v>-3</v>
      </c>
    </row>
    <row r="110" spans="1:26" ht="15" customHeight="1" x14ac:dyDescent="0.25">
      <c r="A110" s="565" t="s">
        <v>1845</v>
      </c>
      <c r="B110" s="535" t="s">
        <v>100</v>
      </c>
      <c r="C110" s="682">
        <v>42817</v>
      </c>
      <c r="D110" s="683">
        <v>43031</v>
      </c>
      <c r="E110" s="684">
        <v>210</v>
      </c>
      <c r="F110" s="683">
        <v>43009</v>
      </c>
      <c r="G110" s="684">
        <v>-2</v>
      </c>
      <c r="H110" s="661">
        <v>-1643</v>
      </c>
      <c r="I110" s="685">
        <v>0</v>
      </c>
      <c r="J110" s="661">
        <f>H110*0.4</f>
        <v>-657.2</v>
      </c>
      <c r="K110" s="660"/>
      <c r="L110" s="660"/>
      <c r="M110" s="660">
        <v>-1</v>
      </c>
      <c r="N110" s="660"/>
      <c r="O110" s="660">
        <v>-1</v>
      </c>
      <c r="P110" s="660"/>
      <c r="Q110" s="660"/>
      <c r="R110" s="660"/>
      <c r="S110" s="660"/>
      <c r="T110" s="660"/>
      <c r="U110" s="660"/>
      <c r="V110" s="660"/>
      <c r="W110" s="660"/>
      <c r="X110" s="660"/>
      <c r="Y110" s="660"/>
      <c r="Z110" s="660">
        <f t="shared" si="11"/>
        <v>-2</v>
      </c>
    </row>
    <row r="111" spans="1:26" ht="15" customHeight="1" x14ac:dyDescent="0.25">
      <c r="A111" s="565" t="s">
        <v>1847</v>
      </c>
      <c r="B111" s="535" t="s">
        <v>61</v>
      </c>
      <c r="C111" s="682">
        <v>43021</v>
      </c>
      <c r="D111" s="683">
        <v>43032</v>
      </c>
      <c r="E111" s="684">
        <v>11</v>
      </c>
      <c r="F111" s="683">
        <v>43032</v>
      </c>
      <c r="G111" s="684">
        <v>-1</v>
      </c>
      <c r="H111" s="728">
        <f>-1643*0.95</f>
        <v>-1560.85</v>
      </c>
      <c r="I111" s="685">
        <v>0</v>
      </c>
      <c r="J111" s="661">
        <f>-657*0.95</f>
        <v>-624.15</v>
      </c>
      <c r="K111" s="660"/>
      <c r="L111" s="660">
        <v>-1</v>
      </c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660">
        <f t="shared" si="11"/>
        <v>-1</v>
      </c>
    </row>
    <row r="112" spans="1:26" s="699" customFormat="1" ht="15" customHeight="1" x14ac:dyDescent="0.25">
      <c r="A112" s="565" t="s">
        <v>1848</v>
      </c>
      <c r="B112" s="535" t="s">
        <v>61</v>
      </c>
      <c r="C112" s="682">
        <v>43021</v>
      </c>
      <c r="D112" s="683">
        <v>43032</v>
      </c>
      <c r="E112" s="684">
        <v>11</v>
      </c>
      <c r="F112" s="683">
        <v>43032</v>
      </c>
      <c r="G112" s="684">
        <v>-3</v>
      </c>
      <c r="H112" s="728">
        <f>-4929*0.95</f>
        <v>-4682.55</v>
      </c>
      <c r="I112" s="685">
        <v>0</v>
      </c>
      <c r="J112" s="661">
        <f>-1971*0.95</f>
        <v>-1872.4499999999998</v>
      </c>
      <c r="K112" s="660">
        <v>-1</v>
      </c>
      <c r="L112" s="660">
        <v>-1</v>
      </c>
      <c r="M112" s="660"/>
      <c r="N112" s="660">
        <v>-1</v>
      </c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>
        <f t="shared" si="11"/>
        <v>-3</v>
      </c>
    </row>
    <row r="113" spans="1:26" ht="15" customHeight="1" x14ac:dyDescent="0.25">
      <c r="A113" s="660"/>
      <c r="B113" s="660"/>
      <c r="C113" s="682"/>
      <c r="D113" s="683"/>
      <c r="E113" s="684"/>
      <c r="F113" s="683"/>
      <c r="G113" s="684"/>
      <c r="H113" s="661"/>
      <c r="I113" s="685"/>
      <c r="J113" s="685"/>
      <c r="K113" s="660"/>
      <c r="L113" s="660"/>
      <c r="M113" s="660"/>
      <c r="N113" s="660"/>
      <c r="O113" s="660"/>
      <c r="P113" s="660"/>
      <c r="Q113" s="660"/>
      <c r="R113" s="660"/>
      <c r="S113" s="660"/>
      <c r="T113" s="660"/>
      <c r="U113" s="660"/>
      <c r="V113" s="660"/>
      <c r="W113" s="660"/>
      <c r="X113" s="660"/>
      <c r="Y113" s="660"/>
      <c r="Z113" s="660">
        <f t="shared" si="11"/>
        <v>0</v>
      </c>
    </row>
    <row r="114" spans="1:26" ht="15" customHeight="1" x14ac:dyDescent="0.25">
      <c r="A114" s="660"/>
      <c r="B114" s="660"/>
      <c r="C114" s="682"/>
      <c r="D114" s="683"/>
      <c r="E114" s="684"/>
      <c r="F114" s="683"/>
      <c r="G114" s="684"/>
      <c r="H114" s="661"/>
      <c r="I114" s="685"/>
      <c r="J114" s="685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>
        <f t="shared" si="11"/>
        <v>0</v>
      </c>
    </row>
    <row r="115" spans="1:26" s="699" customFormat="1" ht="15" customHeight="1" x14ac:dyDescent="0.25">
      <c r="A115" s="663"/>
      <c r="B115" s="660"/>
      <c r="C115" s="682"/>
      <c r="D115" s="683"/>
      <c r="E115" s="684"/>
      <c r="F115" s="683"/>
      <c r="G115" s="684"/>
      <c r="H115" s="685"/>
      <c r="I115" s="685"/>
      <c r="J115" s="685"/>
      <c r="K115" s="660"/>
      <c r="L115" s="660"/>
      <c r="M115" s="660"/>
      <c r="N115" s="660"/>
      <c r="O115" s="660"/>
      <c r="P115" s="660"/>
      <c r="Q115" s="660"/>
      <c r="R115" s="660"/>
      <c r="S115" s="660"/>
      <c r="T115" s="660"/>
      <c r="U115" s="660"/>
      <c r="V115" s="660"/>
      <c r="W115" s="660"/>
      <c r="X115" s="660"/>
      <c r="Y115" s="660"/>
      <c r="Z115" s="660">
        <f t="shared" si="11"/>
        <v>0</v>
      </c>
    </row>
    <row r="116" spans="1:26" ht="15" customHeight="1" x14ac:dyDescent="0.25">
      <c r="A116" s="663"/>
      <c r="B116" s="660"/>
      <c r="C116" s="682"/>
      <c r="D116" s="683"/>
      <c r="E116" s="684"/>
      <c r="F116" s="683"/>
      <c r="G116" s="684"/>
      <c r="H116" s="685"/>
      <c r="I116" s="685"/>
      <c r="J116" s="685"/>
      <c r="K116" s="660"/>
      <c r="L116" s="660"/>
      <c r="M116" s="660"/>
      <c r="N116" s="660"/>
      <c r="O116" s="660"/>
      <c r="P116" s="660"/>
      <c r="Q116" s="660"/>
      <c r="R116" s="660"/>
      <c r="S116" s="660"/>
      <c r="T116" s="660"/>
      <c r="U116" s="660"/>
      <c r="V116" s="660"/>
      <c r="W116" s="660"/>
      <c r="X116" s="660"/>
      <c r="Y116" s="660"/>
      <c r="Z116" s="660">
        <f t="shared" si="11"/>
        <v>0</v>
      </c>
    </row>
    <row r="117" spans="1:26" ht="15" customHeight="1" x14ac:dyDescent="0.25">
      <c r="A117" s="663"/>
      <c r="B117" s="660"/>
      <c r="C117" s="682"/>
      <c r="D117" s="683"/>
      <c r="E117" s="684"/>
      <c r="F117" s="683"/>
      <c r="G117" s="684"/>
      <c r="H117" s="685"/>
      <c r="I117" s="685"/>
      <c r="J117" s="685"/>
      <c r="K117" s="660"/>
      <c r="L117" s="660"/>
      <c r="M117" s="660"/>
      <c r="N117" s="660"/>
      <c r="O117" s="660"/>
      <c r="P117" s="660"/>
      <c r="Q117" s="660"/>
      <c r="R117" s="660"/>
      <c r="S117" s="660"/>
      <c r="T117" s="660"/>
      <c r="U117" s="660"/>
      <c r="V117" s="660"/>
      <c r="W117" s="660"/>
      <c r="X117" s="660"/>
      <c r="Y117" s="660"/>
      <c r="Z117" s="660">
        <f t="shared" si="11"/>
        <v>0</v>
      </c>
    </row>
    <row r="118" spans="1:26" ht="15" customHeight="1" x14ac:dyDescent="0.25">
      <c r="A118" s="667" t="s">
        <v>1230</v>
      </c>
      <c r="B118" s="668"/>
      <c r="C118" s="687"/>
      <c r="D118" s="688"/>
      <c r="E118" s="669"/>
      <c r="F118" s="688"/>
      <c r="G118" s="669">
        <f>SUM(G109:G117)</f>
        <v>-9</v>
      </c>
      <c r="H118" s="670">
        <f>SUM(H109:H117)</f>
        <v>-12010.400000000001</v>
      </c>
      <c r="I118" s="671">
        <f t="shared" ref="I118:J118" si="12">SUM(I109:I117)</f>
        <v>0</v>
      </c>
      <c r="J118" s="670">
        <f t="shared" si="12"/>
        <v>-4986.7999999999993</v>
      </c>
      <c r="K118" s="669">
        <f>SUM(K109:K117)</f>
        <v>-1</v>
      </c>
      <c r="L118" s="669">
        <f t="shared" ref="L118:Z118" si="13">SUM(L109:L117)</f>
        <v>-2</v>
      </c>
      <c r="M118" s="669">
        <f t="shared" si="13"/>
        <v>-1</v>
      </c>
      <c r="N118" s="669">
        <f t="shared" si="13"/>
        <v>-1</v>
      </c>
      <c r="O118" s="669">
        <f t="shared" si="13"/>
        <v>-1</v>
      </c>
      <c r="P118" s="669">
        <f t="shared" si="13"/>
        <v>0</v>
      </c>
      <c r="Q118" s="669">
        <f t="shared" si="13"/>
        <v>0</v>
      </c>
      <c r="R118" s="669">
        <f t="shared" si="13"/>
        <v>0</v>
      </c>
      <c r="S118" s="669">
        <f t="shared" si="13"/>
        <v>0</v>
      </c>
      <c r="T118" s="669">
        <f t="shared" si="13"/>
        <v>-1</v>
      </c>
      <c r="U118" s="669">
        <f t="shared" si="13"/>
        <v>-1</v>
      </c>
      <c r="V118" s="669">
        <f t="shared" si="13"/>
        <v>-1</v>
      </c>
      <c r="W118" s="669">
        <f t="shared" si="13"/>
        <v>0</v>
      </c>
      <c r="X118" s="669">
        <f t="shared" si="13"/>
        <v>0</v>
      </c>
      <c r="Y118" s="669">
        <f t="shared" si="13"/>
        <v>0</v>
      </c>
      <c r="Z118" s="669">
        <f t="shared" si="13"/>
        <v>-9</v>
      </c>
    </row>
    <row r="120" spans="1:26" x14ac:dyDescent="0.25">
      <c r="A120" s="743" t="s">
        <v>1231</v>
      </c>
      <c r="B120" s="743"/>
    </row>
    <row r="121" spans="1:26" ht="30" x14ac:dyDescent="0.25">
      <c r="A121" s="657" t="s">
        <v>1</v>
      </c>
      <c r="B121" s="657" t="s">
        <v>59</v>
      </c>
      <c r="C121" s="694"/>
      <c r="D121" s="694"/>
      <c r="E121" s="694"/>
      <c r="F121" s="695"/>
      <c r="G121" s="696" t="s">
        <v>1225</v>
      </c>
      <c r="H121" s="697" t="s">
        <v>1224</v>
      </c>
      <c r="I121" s="697" t="s">
        <v>1498</v>
      </c>
      <c r="J121" s="697" t="s">
        <v>94</v>
      </c>
      <c r="K121" s="658" t="s">
        <v>681</v>
      </c>
      <c r="L121" s="658" t="s">
        <v>1496</v>
      </c>
      <c r="M121" s="658" t="s">
        <v>1497</v>
      </c>
      <c r="N121" s="658" t="s">
        <v>682</v>
      </c>
      <c r="O121" s="658" t="s">
        <v>683</v>
      </c>
      <c r="P121" s="658" t="s">
        <v>87</v>
      </c>
      <c r="Q121" s="658" t="s">
        <v>684</v>
      </c>
      <c r="R121" s="658" t="s">
        <v>685</v>
      </c>
      <c r="S121" s="658" t="s">
        <v>690</v>
      </c>
      <c r="T121" s="658" t="s">
        <v>686</v>
      </c>
      <c r="U121" s="658" t="s">
        <v>687</v>
      </c>
      <c r="V121" s="658" t="s">
        <v>688</v>
      </c>
      <c r="W121" s="658" t="s">
        <v>689</v>
      </c>
      <c r="X121" s="658" t="s">
        <v>138</v>
      </c>
      <c r="Y121" s="658" t="s">
        <v>1385</v>
      </c>
      <c r="Z121" s="658" t="s">
        <v>1238</v>
      </c>
    </row>
    <row r="122" spans="1:26" ht="15" customHeight="1" x14ac:dyDescent="0.25">
      <c r="A122" s="663"/>
      <c r="B122" s="660"/>
      <c r="C122" s="682"/>
      <c r="D122" s="683"/>
      <c r="E122" s="684"/>
      <c r="F122" s="683"/>
      <c r="G122" s="684"/>
      <c r="H122" s="685"/>
      <c r="I122" s="685"/>
      <c r="J122" s="685"/>
      <c r="K122" s="660"/>
      <c r="L122" s="660"/>
      <c r="M122" s="660"/>
      <c r="N122" s="660"/>
      <c r="O122" s="660"/>
      <c r="P122" s="660"/>
      <c r="Q122" s="660"/>
      <c r="R122" s="660"/>
      <c r="S122" s="660"/>
      <c r="T122" s="660"/>
      <c r="U122" s="660"/>
      <c r="V122" s="660"/>
      <c r="W122" s="660"/>
      <c r="X122" s="660"/>
      <c r="Y122" s="660"/>
      <c r="Z122" s="660">
        <f t="shared" ref="Z122:Z124" si="14">SUM(K122:Y122)</f>
        <v>0</v>
      </c>
    </row>
    <row r="123" spans="1:26" ht="15" customHeight="1" x14ac:dyDescent="0.25">
      <c r="A123" s="660"/>
      <c r="B123" s="660"/>
      <c r="C123" s="682"/>
      <c r="D123" s="683"/>
      <c r="E123" s="684"/>
      <c r="F123" s="683"/>
      <c r="G123" s="684"/>
      <c r="H123" s="685"/>
      <c r="I123" s="685"/>
      <c r="J123" s="685"/>
      <c r="K123" s="660"/>
      <c r="L123" s="660"/>
      <c r="M123" s="660"/>
      <c r="N123" s="660"/>
      <c r="O123" s="660"/>
      <c r="P123" s="660"/>
      <c r="Q123" s="660"/>
      <c r="R123" s="660"/>
      <c r="S123" s="660"/>
      <c r="T123" s="660"/>
      <c r="U123" s="660"/>
      <c r="V123" s="660"/>
      <c r="W123" s="660"/>
      <c r="X123" s="660"/>
      <c r="Y123" s="660"/>
      <c r="Z123" s="660">
        <f t="shared" si="14"/>
        <v>0</v>
      </c>
    </row>
    <row r="124" spans="1:26" ht="15" customHeight="1" x14ac:dyDescent="0.25">
      <c r="A124" s="663"/>
      <c r="B124" s="660"/>
      <c r="C124" s="682"/>
      <c r="D124" s="683"/>
      <c r="E124" s="684"/>
      <c r="F124" s="683"/>
      <c r="G124" s="684"/>
      <c r="H124" s="685"/>
      <c r="I124" s="685"/>
      <c r="J124" s="685"/>
      <c r="K124" s="660"/>
      <c r="L124" s="660"/>
      <c r="M124" s="660"/>
      <c r="N124" s="660"/>
      <c r="O124" s="660"/>
      <c r="P124" s="660"/>
      <c r="Q124" s="660"/>
      <c r="R124" s="660"/>
      <c r="S124" s="660"/>
      <c r="T124" s="660"/>
      <c r="U124" s="660"/>
      <c r="V124" s="660"/>
      <c r="W124" s="660"/>
      <c r="X124" s="660"/>
      <c r="Y124" s="660"/>
      <c r="Z124" s="660">
        <f t="shared" si="14"/>
        <v>0</v>
      </c>
    </row>
    <row r="125" spans="1:26" ht="15" customHeight="1" x14ac:dyDescent="0.25">
      <c r="A125" s="667" t="s">
        <v>1230</v>
      </c>
      <c r="B125" s="668"/>
      <c r="C125" s="687"/>
      <c r="D125" s="688"/>
      <c r="E125" s="669"/>
      <c r="F125" s="688"/>
      <c r="G125" s="669">
        <f>SUM(G122:G124)</f>
        <v>0</v>
      </c>
      <c r="H125" s="671">
        <f>SUM(H122:H124)</f>
        <v>0</v>
      </c>
      <c r="I125" s="671">
        <f t="shared" ref="I125:Z125" si="15">SUM(I122:I124)</f>
        <v>0</v>
      </c>
      <c r="J125" s="671">
        <f t="shared" si="15"/>
        <v>0</v>
      </c>
      <c r="K125" s="669">
        <f t="shared" si="15"/>
        <v>0</v>
      </c>
      <c r="L125" s="669">
        <f t="shared" si="15"/>
        <v>0</v>
      </c>
      <c r="M125" s="669">
        <f t="shared" si="15"/>
        <v>0</v>
      </c>
      <c r="N125" s="669">
        <f t="shared" si="15"/>
        <v>0</v>
      </c>
      <c r="O125" s="669">
        <f t="shared" si="15"/>
        <v>0</v>
      </c>
      <c r="P125" s="669">
        <f t="shared" si="15"/>
        <v>0</v>
      </c>
      <c r="Q125" s="669">
        <f t="shared" si="15"/>
        <v>0</v>
      </c>
      <c r="R125" s="669">
        <f t="shared" si="15"/>
        <v>0</v>
      </c>
      <c r="S125" s="669">
        <f t="shared" si="15"/>
        <v>0</v>
      </c>
      <c r="T125" s="669">
        <f t="shared" si="15"/>
        <v>0</v>
      </c>
      <c r="U125" s="669">
        <f t="shared" si="15"/>
        <v>0</v>
      </c>
      <c r="V125" s="669">
        <f t="shared" si="15"/>
        <v>0</v>
      </c>
      <c r="W125" s="669">
        <f t="shared" si="15"/>
        <v>0</v>
      </c>
      <c r="X125" s="669"/>
      <c r="Y125" s="669"/>
      <c r="Z125" s="669">
        <f t="shared" si="15"/>
        <v>0</v>
      </c>
    </row>
    <row r="126" spans="1:26" ht="15.75" thickBot="1" x14ac:dyDescent="0.3"/>
    <row r="127" spans="1:26" ht="15.75" thickBot="1" x14ac:dyDescent="0.3">
      <c r="A127" s="703" t="s">
        <v>1232</v>
      </c>
      <c r="B127" s="704"/>
      <c r="C127" s="704"/>
      <c r="D127" s="704"/>
      <c r="E127" s="704"/>
      <c r="F127" s="704"/>
      <c r="G127" s="705">
        <f t="shared" ref="G127:W127" si="16">G82+G94+G105+G118+G125</f>
        <v>-3</v>
      </c>
      <c r="H127" s="706">
        <f t="shared" si="16"/>
        <v>28898.199999999997</v>
      </c>
      <c r="I127" s="706">
        <f t="shared" si="16"/>
        <v>7800</v>
      </c>
      <c r="J127" s="706">
        <f t="shared" si="16"/>
        <v>118276.56</v>
      </c>
      <c r="K127" s="707">
        <f t="shared" si="16"/>
        <v>0</v>
      </c>
      <c r="L127" s="707">
        <f t="shared" si="16"/>
        <v>-1</v>
      </c>
      <c r="M127" s="707">
        <f t="shared" si="16"/>
        <v>-1</v>
      </c>
      <c r="N127" s="707">
        <f t="shared" si="16"/>
        <v>0</v>
      </c>
      <c r="O127" s="707">
        <f t="shared" si="16"/>
        <v>-1</v>
      </c>
      <c r="P127" s="707">
        <f t="shared" si="16"/>
        <v>3</v>
      </c>
      <c r="Q127" s="707">
        <f t="shared" si="16"/>
        <v>2</v>
      </c>
      <c r="R127" s="707">
        <f t="shared" si="16"/>
        <v>1</v>
      </c>
      <c r="S127" s="707">
        <f t="shared" si="16"/>
        <v>1</v>
      </c>
      <c r="T127" s="707">
        <f t="shared" si="16"/>
        <v>-1</v>
      </c>
      <c r="U127" s="707">
        <f t="shared" si="16"/>
        <v>1</v>
      </c>
      <c r="V127" s="707">
        <f t="shared" si="16"/>
        <v>0</v>
      </c>
      <c r="W127" s="707">
        <f t="shared" si="16"/>
        <v>0</v>
      </c>
      <c r="X127" s="707"/>
      <c r="Y127" s="707"/>
      <c r="Z127" s="707">
        <f>Z82+Z94+Z105+Z118+Z125</f>
        <v>4</v>
      </c>
    </row>
    <row r="128" spans="1:26" ht="15.75" thickBot="1" x14ac:dyDescent="0.3">
      <c r="A128" s="703" t="s">
        <v>64</v>
      </c>
      <c r="B128" s="704"/>
      <c r="C128" s="704"/>
      <c r="D128" s="704"/>
      <c r="E128" s="704"/>
      <c r="F128" s="704"/>
      <c r="G128" s="705"/>
      <c r="H128" s="706"/>
      <c r="I128" s="706"/>
      <c r="J128" s="706"/>
    </row>
    <row r="129" spans="1:10" ht="15.75" thickBot="1" x14ac:dyDescent="0.3">
      <c r="A129" s="708" t="s">
        <v>452</v>
      </c>
      <c r="B129" s="709"/>
      <c r="C129" s="709"/>
      <c r="D129" s="709"/>
      <c r="E129" s="709"/>
      <c r="F129" s="709"/>
      <c r="G129" s="710"/>
      <c r="H129" s="711">
        <f>H127-H128</f>
        <v>28898.199999999997</v>
      </c>
      <c r="I129" s="711"/>
      <c r="J129" s="711"/>
    </row>
    <row r="132" spans="1:10" x14ac:dyDescent="0.25">
      <c r="H132" s="712">
        <f>H82+H105+H118+H125</f>
        <v>17826.199999999997</v>
      </c>
      <c r="I132" s="712"/>
      <c r="J132" s="712"/>
    </row>
  </sheetData>
  <mergeCells count="8">
    <mergeCell ref="G3:H3"/>
    <mergeCell ref="A84:B84"/>
    <mergeCell ref="A96:B96"/>
    <mergeCell ref="A107:B107"/>
    <mergeCell ref="A120:B120"/>
    <mergeCell ref="A3:B3"/>
    <mergeCell ref="C3:D3"/>
    <mergeCell ref="E3:F3"/>
  </mergeCells>
  <pageMargins left="0.7" right="0.7" top="0.75" bottom="0.75" header="0.3" footer="0.3"/>
  <pageSetup scale="33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34"/>
  <sheetViews>
    <sheetView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1361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70" t="s">
        <v>1</v>
      </c>
      <c r="B4" s="57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713" t="s">
        <v>57</v>
      </c>
      <c r="B5" s="537" t="s">
        <v>115</v>
      </c>
      <c r="C5" s="713">
        <v>2</v>
      </c>
      <c r="D5" s="714">
        <v>3450</v>
      </c>
      <c r="E5" s="713">
        <v>2</v>
      </c>
      <c r="F5" s="714">
        <v>3386</v>
      </c>
      <c r="G5" s="535">
        <f t="shared" ref="G5:H33" si="0">E5-C5</f>
        <v>0</v>
      </c>
      <c r="H5" s="477">
        <f t="shared" si="0"/>
        <v>-64</v>
      </c>
      <c r="I5" s="542"/>
      <c r="J5" s="724">
        <v>1354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7" si="1">SUM(K5:Y5)</f>
        <v>0</v>
      </c>
    </row>
    <row r="6" spans="1:26" ht="14.45" customHeight="1" x14ac:dyDescent="0.25">
      <c r="A6" s="716" t="s">
        <v>1477</v>
      </c>
      <c r="B6" s="716" t="s">
        <v>115</v>
      </c>
      <c r="C6" s="713">
        <v>1</v>
      </c>
      <c r="D6" s="714">
        <v>1595</v>
      </c>
      <c r="E6" s="713">
        <v>1</v>
      </c>
      <c r="F6" s="714">
        <v>1561</v>
      </c>
      <c r="G6" s="535">
        <f t="shared" si="0"/>
        <v>0</v>
      </c>
      <c r="H6" s="477">
        <f t="shared" si="0"/>
        <v>-34</v>
      </c>
      <c r="I6" s="542"/>
      <c r="J6" s="724">
        <v>3386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716" t="s">
        <v>1478</v>
      </c>
      <c r="B7" s="716" t="s">
        <v>115</v>
      </c>
      <c r="C7" s="713">
        <v>1</v>
      </c>
      <c r="D7" s="714">
        <v>1595</v>
      </c>
      <c r="E7" s="713">
        <v>1</v>
      </c>
      <c r="F7" s="714">
        <v>1561</v>
      </c>
      <c r="G7" s="535">
        <f t="shared" si="0"/>
        <v>0</v>
      </c>
      <c r="H7" s="477">
        <f t="shared" si="0"/>
        <v>-34</v>
      </c>
      <c r="I7" s="542"/>
      <c r="J7" s="724">
        <v>624.34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716" t="s">
        <v>1476</v>
      </c>
      <c r="B8" s="716" t="s">
        <v>115</v>
      </c>
      <c r="C8" s="713">
        <v>1</v>
      </c>
      <c r="D8" s="714">
        <v>1595</v>
      </c>
      <c r="E8" s="713">
        <v>1</v>
      </c>
      <c r="F8" s="714">
        <v>1561</v>
      </c>
      <c r="G8" s="535">
        <f t="shared" si="0"/>
        <v>0</v>
      </c>
      <c r="H8" s="477">
        <f t="shared" si="0"/>
        <v>-34</v>
      </c>
      <c r="I8" s="542"/>
      <c r="J8" s="724">
        <v>624.34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716" t="s">
        <v>210</v>
      </c>
      <c r="B9" s="537" t="s">
        <v>115</v>
      </c>
      <c r="C9" s="713">
        <v>9</v>
      </c>
      <c r="D9" s="714">
        <v>11615.400000000001</v>
      </c>
      <c r="E9" s="713">
        <v>9</v>
      </c>
      <c r="F9" s="714">
        <v>11963.7</v>
      </c>
      <c r="G9" s="535">
        <f t="shared" si="0"/>
        <v>0</v>
      </c>
      <c r="H9" s="477">
        <f t="shared" si="0"/>
        <v>348.29999999999927</v>
      </c>
      <c r="I9" s="542"/>
      <c r="J9" s="724">
        <v>624.34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713" t="s">
        <v>291</v>
      </c>
      <c r="B10" s="716" t="s">
        <v>115</v>
      </c>
      <c r="C10" s="713">
        <v>9</v>
      </c>
      <c r="D10" s="714">
        <v>11615.400000000001</v>
      </c>
      <c r="E10" s="713">
        <v>9</v>
      </c>
      <c r="F10" s="714">
        <v>14027.400000000001</v>
      </c>
      <c r="G10" s="535">
        <f t="shared" si="0"/>
        <v>0</v>
      </c>
      <c r="H10" s="477">
        <f t="shared" si="0"/>
        <v>2412</v>
      </c>
      <c r="I10" s="542"/>
      <c r="J10" s="724">
        <v>3999.96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713" t="s">
        <v>42</v>
      </c>
      <c r="B11" s="716" t="s">
        <v>115</v>
      </c>
      <c r="C11" s="713">
        <v>9</v>
      </c>
      <c r="D11" s="714">
        <v>11615.4</v>
      </c>
      <c r="E11" s="713">
        <v>9</v>
      </c>
      <c r="F11" s="714">
        <v>12894.5</v>
      </c>
      <c r="G11" s="535">
        <f t="shared" si="0"/>
        <v>0</v>
      </c>
      <c r="H11" s="477">
        <f t="shared" si="0"/>
        <v>1279.1000000000004</v>
      </c>
      <c r="I11" s="542"/>
      <c r="J11" s="724">
        <v>4000.0499999999993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716" t="s">
        <v>1435</v>
      </c>
      <c r="B12" s="537" t="s">
        <v>61</v>
      </c>
      <c r="C12" s="713">
        <v>2</v>
      </c>
      <c r="D12" s="714">
        <v>3121.7</v>
      </c>
      <c r="E12" s="713">
        <v>2</v>
      </c>
      <c r="F12" s="714">
        <v>3216.7</v>
      </c>
      <c r="G12" s="535">
        <f t="shared" si="0"/>
        <v>0</v>
      </c>
      <c r="H12" s="477">
        <f t="shared" si="0"/>
        <v>95</v>
      </c>
      <c r="I12" s="542"/>
      <c r="J12" s="724">
        <v>4000.0499999999993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716" t="s">
        <v>1436</v>
      </c>
      <c r="B13" s="537" t="s">
        <v>61</v>
      </c>
      <c r="C13" s="713">
        <v>2</v>
      </c>
      <c r="D13" s="714">
        <v>3121.7</v>
      </c>
      <c r="E13" s="713">
        <v>2</v>
      </c>
      <c r="F13" s="714">
        <v>3216.7</v>
      </c>
      <c r="G13" s="535">
        <f t="shared" si="0"/>
        <v>0</v>
      </c>
      <c r="H13" s="477">
        <f t="shared" si="0"/>
        <v>95</v>
      </c>
      <c r="I13" s="542"/>
      <c r="J13" s="724">
        <v>1286.68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716" t="s">
        <v>152</v>
      </c>
      <c r="B14" s="537" t="s">
        <v>115</v>
      </c>
      <c r="C14" s="713">
        <v>1</v>
      </c>
      <c r="D14" s="714">
        <v>2560</v>
      </c>
      <c r="E14" s="713">
        <v>1</v>
      </c>
      <c r="F14" s="714">
        <v>2637</v>
      </c>
      <c r="G14" s="535">
        <f t="shared" si="0"/>
        <v>0</v>
      </c>
      <c r="H14" s="477">
        <f t="shared" si="0"/>
        <v>77</v>
      </c>
      <c r="I14" s="542"/>
      <c r="J14" s="724">
        <v>1286.68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716" t="s">
        <v>256</v>
      </c>
      <c r="B15" s="537" t="s">
        <v>115</v>
      </c>
      <c r="C15" s="713">
        <v>1</v>
      </c>
      <c r="D15" s="714">
        <v>890</v>
      </c>
      <c r="E15" s="713">
        <v>1</v>
      </c>
      <c r="F15" s="714">
        <v>917</v>
      </c>
      <c r="G15" s="535">
        <f t="shared" si="0"/>
        <v>0</v>
      </c>
      <c r="H15" s="477">
        <f t="shared" si="0"/>
        <v>27</v>
      </c>
      <c r="I15" s="542"/>
      <c r="J15" s="724">
        <v>1054.8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716" t="s">
        <v>677</v>
      </c>
      <c r="B16" s="716" t="s">
        <v>115</v>
      </c>
      <c r="C16" s="713">
        <v>5</v>
      </c>
      <c r="D16" s="714">
        <v>7804.25</v>
      </c>
      <c r="E16" s="713">
        <v>5</v>
      </c>
      <c r="F16" s="714">
        <v>8041.75</v>
      </c>
      <c r="G16" s="535">
        <f t="shared" si="0"/>
        <v>0</v>
      </c>
      <c r="H16" s="477">
        <f t="shared" si="0"/>
        <v>237.5</v>
      </c>
      <c r="I16" s="542"/>
      <c r="J16" s="724">
        <v>657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716" t="s">
        <v>678</v>
      </c>
      <c r="B17" s="716" t="s">
        <v>115</v>
      </c>
      <c r="C17" s="713">
        <v>5</v>
      </c>
      <c r="D17" s="714">
        <v>7804.25</v>
      </c>
      <c r="E17" s="713">
        <v>5</v>
      </c>
      <c r="F17" s="714">
        <v>8041.75</v>
      </c>
      <c r="G17" s="535">
        <f t="shared" si="0"/>
        <v>0</v>
      </c>
      <c r="H17" s="477">
        <f t="shared" si="0"/>
        <v>237.5</v>
      </c>
      <c r="I17" s="542"/>
      <c r="J17" s="724">
        <v>3216.7000000000003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716" t="s">
        <v>679</v>
      </c>
      <c r="B18" s="716" t="s">
        <v>115</v>
      </c>
      <c r="C18" s="713">
        <v>5</v>
      </c>
      <c r="D18" s="714">
        <v>7804.25</v>
      </c>
      <c r="E18" s="713">
        <v>5</v>
      </c>
      <c r="F18" s="714">
        <v>8041.75</v>
      </c>
      <c r="G18" s="535">
        <f t="shared" si="0"/>
        <v>0</v>
      </c>
      <c r="H18" s="477">
        <f t="shared" si="0"/>
        <v>237.5</v>
      </c>
      <c r="I18" s="542"/>
      <c r="J18" s="724">
        <v>3216.7000000000003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716" t="s">
        <v>211</v>
      </c>
      <c r="B19" s="537" t="s">
        <v>115</v>
      </c>
      <c r="C19" s="713">
        <v>1</v>
      </c>
      <c r="D19" s="714">
        <v>443</v>
      </c>
      <c r="E19" s="713">
        <v>1</v>
      </c>
      <c r="F19" s="714">
        <v>456</v>
      </c>
      <c r="G19" s="535">
        <f t="shared" si="0"/>
        <v>0</v>
      </c>
      <c r="H19" s="477">
        <f t="shared" si="0"/>
        <v>13</v>
      </c>
      <c r="I19" s="542"/>
      <c r="J19" s="724">
        <v>3216.7000000000003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716" t="s">
        <v>212</v>
      </c>
      <c r="B20" s="537" t="s">
        <v>115</v>
      </c>
      <c r="C20" s="713">
        <v>1</v>
      </c>
      <c r="D20" s="714">
        <v>443</v>
      </c>
      <c r="E20" s="713">
        <v>1</v>
      </c>
      <c r="F20" s="714">
        <v>456</v>
      </c>
      <c r="G20" s="535">
        <f t="shared" si="0"/>
        <v>0</v>
      </c>
      <c r="H20" s="477">
        <f t="shared" si="0"/>
        <v>13</v>
      </c>
      <c r="I20" s="542"/>
      <c r="J20" s="724">
        <v>182.4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716" t="s">
        <v>214</v>
      </c>
      <c r="B21" s="537" t="s">
        <v>115</v>
      </c>
      <c r="C21" s="713">
        <v>1</v>
      </c>
      <c r="D21" s="714">
        <v>443</v>
      </c>
      <c r="E21" s="713">
        <v>1</v>
      </c>
      <c r="F21" s="714">
        <v>1490</v>
      </c>
      <c r="G21" s="535">
        <f t="shared" si="0"/>
        <v>0</v>
      </c>
      <c r="H21" s="477">
        <f t="shared" si="0"/>
        <v>1047</v>
      </c>
      <c r="I21" s="542"/>
      <c r="J21" s="724">
        <v>182.4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716" t="s">
        <v>1412</v>
      </c>
      <c r="B22" s="537" t="s">
        <v>61</v>
      </c>
      <c r="C22" s="713">
        <v>4</v>
      </c>
      <c r="D22" s="714">
        <v>6572</v>
      </c>
      <c r="E22" s="713">
        <v>4</v>
      </c>
      <c r="F22" s="714">
        <v>6772</v>
      </c>
      <c r="G22" s="535">
        <f t="shared" si="0"/>
        <v>0</v>
      </c>
      <c r="H22" s="477">
        <f t="shared" si="0"/>
        <v>200</v>
      </c>
      <c r="I22" s="542"/>
      <c r="J22" s="724">
        <v>596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716" t="s">
        <v>1700</v>
      </c>
      <c r="B23" s="537" t="s">
        <v>115</v>
      </c>
      <c r="C23" s="713">
        <v>5</v>
      </c>
      <c r="D23" s="714">
        <v>8215</v>
      </c>
      <c r="E23" s="713">
        <v>5</v>
      </c>
      <c r="F23" s="714">
        <v>8465</v>
      </c>
      <c r="G23" s="535">
        <f t="shared" si="0"/>
        <v>0</v>
      </c>
      <c r="H23" s="477">
        <f t="shared" si="0"/>
        <v>250</v>
      </c>
      <c r="I23" s="542"/>
      <c r="J23" s="724">
        <v>2709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716" t="s">
        <v>195</v>
      </c>
      <c r="B24" s="537" t="s">
        <v>61</v>
      </c>
      <c r="C24" s="713">
        <v>7</v>
      </c>
      <c r="D24" s="714">
        <v>7911.7</v>
      </c>
      <c r="E24" s="713">
        <v>7</v>
      </c>
      <c r="F24" s="714">
        <v>8479</v>
      </c>
      <c r="G24" s="535">
        <f t="shared" si="0"/>
        <v>0</v>
      </c>
      <c r="H24" s="477">
        <f t="shared" si="0"/>
        <v>567.30000000000018</v>
      </c>
      <c r="I24" s="542"/>
      <c r="J24" s="724">
        <v>3391.6000000000004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717" t="s">
        <v>1662</v>
      </c>
      <c r="B25" s="537" t="s">
        <v>115</v>
      </c>
      <c r="C25" s="713">
        <v>5</v>
      </c>
      <c r="D25" s="714">
        <v>8215</v>
      </c>
      <c r="E25" s="713">
        <v>5</v>
      </c>
      <c r="F25" s="714">
        <v>8465</v>
      </c>
      <c r="G25" s="535">
        <f t="shared" si="0"/>
        <v>0</v>
      </c>
      <c r="H25" s="477">
        <f t="shared" si="0"/>
        <v>250</v>
      </c>
      <c r="I25" s="542"/>
      <c r="J25" s="724">
        <v>3386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716" t="s">
        <v>189</v>
      </c>
      <c r="B26" s="537" t="s">
        <v>61</v>
      </c>
      <c r="C26" s="713">
        <v>8</v>
      </c>
      <c r="D26" s="714">
        <v>11717.099999999999</v>
      </c>
      <c r="E26" s="713">
        <v>8</v>
      </c>
      <c r="F26" s="714">
        <v>11035.8</v>
      </c>
      <c r="G26" s="535">
        <f t="shared" si="0"/>
        <v>0</v>
      </c>
      <c r="H26" s="477">
        <f t="shared" si="0"/>
        <v>-681.29999999999927</v>
      </c>
      <c r="I26" s="542"/>
      <c r="J26" s="724">
        <v>4000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customHeight="1" x14ac:dyDescent="0.25">
      <c r="A27" s="716" t="s">
        <v>154</v>
      </c>
      <c r="B27" s="537" t="s">
        <v>61</v>
      </c>
      <c r="C27" s="713">
        <v>8</v>
      </c>
      <c r="D27" s="714">
        <v>11109.1</v>
      </c>
      <c r="E27" s="713">
        <v>8</v>
      </c>
      <c r="F27" s="714">
        <v>12306.099999999999</v>
      </c>
      <c r="G27" s="535">
        <f t="shared" si="0"/>
        <v>0</v>
      </c>
      <c r="H27" s="477">
        <f t="shared" si="0"/>
        <v>1196.9999999999982</v>
      </c>
      <c r="I27" s="542"/>
      <c r="J27" s="724">
        <v>4000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customHeight="1" x14ac:dyDescent="0.25">
      <c r="A28" s="717" t="s">
        <v>1664</v>
      </c>
      <c r="B28" s="537" t="s">
        <v>61</v>
      </c>
      <c r="C28" s="713">
        <v>3</v>
      </c>
      <c r="D28" s="714">
        <v>7129</v>
      </c>
      <c r="E28" s="713">
        <v>3</v>
      </c>
      <c r="F28" s="714">
        <v>7279</v>
      </c>
      <c r="G28" s="535">
        <f t="shared" si="0"/>
        <v>0</v>
      </c>
      <c r="H28" s="477">
        <f t="shared" si="0"/>
        <v>150</v>
      </c>
      <c r="I28" s="542"/>
      <c r="J28" s="724">
        <v>2032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customHeight="1" x14ac:dyDescent="0.25">
      <c r="A29" s="716" t="s">
        <v>270</v>
      </c>
      <c r="B29" s="537" t="s">
        <v>115</v>
      </c>
      <c r="C29" s="713">
        <v>2</v>
      </c>
      <c r="D29" s="714">
        <v>4006</v>
      </c>
      <c r="E29" s="713">
        <v>2</v>
      </c>
      <c r="F29" s="714">
        <v>3386</v>
      </c>
      <c r="G29" s="535">
        <f t="shared" si="0"/>
        <v>0</v>
      </c>
      <c r="H29" s="477">
        <f t="shared" si="0"/>
        <v>-620</v>
      </c>
      <c r="I29" s="542"/>
      <c r="J29" s="724">
        <v>1354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customHeight="1" x14ac:dyDescent="0.25">
      <c r="A30" s="716" t="s">
        <v>1521</v>
      </c>
      <c r="B30" s="537" t="s">
        <v>61</v>
      </c>
      <c r="C30" s="713">
        <v>8</v>
      </c>
      <c r="D30" s="714">
        <v>15344</v>
      </c>
      <c r="E30" s="713">
        <v>8</v>
      </c>
      <c r="F30" s="714">
        <v>15744</v>
      </c>
      <c r="G30" s="535">
        <f t="shared" si="0"/>
        <v>0</v>
      </c>
      <c r="H30" s="477">
        <f t="shared" si="0"/>
        <v>400</v>
      </c>
      <c r="I30" s="542"/>
      <c r="J30" s="724">
        <v>5418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customHeight="1" x14ac:dyDescent="0.25">
      <c r="A31" s="716" t="s">
        <v>206</v>
      </c>
      <c r="B31" s="537" t="s">
        <v>115</v>
      </c>
      <c r="C31" s="713">
        <v>1</v>
      </c>
      <c r="D31" s="714">
        <v>443</v>
      </c>
      <c r="E31" s="713">
        <v>1</v>
      </c>
      <c r="F31" s="714">
        <v>917</v>
      </c>
      <c r="G31" s="535">
        <f t="shared" si="0"/>
        <v>0</v>
      </c>
      <c r="H31" s="477">
        <f t="shared" si="0"/>
        <v>474</v>
      </c>
      <c r="I31" s="542"/>
      <c r="J31" s="724">
        <v>367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customHeight="1" x14ac:dyDescent="0.25">
      <c r="A32" s="716" t="s">
        <v>1451</v>
      </c>
      <c r="B32" s="537" t="s">
        <v>61</v>
      </c>
      <c r="C32" s="713">
        <v>5</v>
      </c>
      <c r="D32" s="714">
        <v>7936</v>
      </c>
      <c r="E32" s="713">
        <v>5</v>
      </c>
      <c r="F32" s="714">
        <v>8036</v>
      </c>
      <c r="G32" s="535">
        <f t="shared" si="0"/>
        <v>0</v>
      </c>
      <c r="H32" s="477">
        <f t="shared" si="0"/>
        <v>100</v>
      </c>
      <c r="I32" s="542"/>
      <c r="J32" s="724">
        <v>1354</v>
      </c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customHeight="1" x14ac:dyDescent="0.25">
      <c r="A33" s="719" t="s">
        <v>1657</v>
      </c>
      <c r="B33" s="537" t="s">
        <v>61</v>
      </c>
      <c r="C33" s="713">
        <v>1</v>
      </c>
      <c r="D33" s="714">
        <v>3843</v>
      </c>
      <c r="E33" s="713">
        <v>1</v>
      </c>
      <c r="F33" s="714">
        <v>3893</v>
      </c>
      <c r="G33" s="535">
        <f t="shared" si="0"/>
        <v>0</v>
      </c>
      <c r="H33" s="477">
        <f t="shared" si="0"/>
        <v>50</v>
      </c>
      <c r="I33" s="542"/>
      <c r="J33" s="724">
        <v>677</v>
      </c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531"/>
      <c r="B34" s="530"/>
      <c r="C34" s="531"/>
      <c r="D34" s="542"/>
      <c r="E34" s="535"/>
      <c r="F34" s="542"/>
      <c r="G34" s="535"/>
      <c r="H34" s="542"/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531"/>
      <c r="B35" s="530"/>
      <c r="C35" s="531"/>
      <c r="D35" s="542"/>
      <c r="E35" s="535"/>
      <c r="F35" s="542"/>
      <c r="G35" s="535"/>
      <c r="H35" s="542"/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hidden="1" customHeight="1" x14ac:dyDescent="0.25">
      <c r="A36" s="531"/>
      <c r="B36" s="530"/>
      <c r="C36" s="531"/>
      <c r="D36" s="542"/>
      <c r="E36" s="535"/>
      <c r="F36" s="542"/>
      <c r="G36" s="535"/>
      <c r="H36" s="542"/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0"/>
      <c r="B37" s="530"/>
      <c r="C37" s="531"/>
      <c r="D37" s="542"/>
      <c r="E37" s="535"/>
      <c r="F37" s="542"/>
      <c r="G37" s="535"/>
      <c r="H37" s="542"/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/>
      <c r="H38" s="542"/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/>
      <c r="H39" s="542"/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/>
      <c r="H40" s="542"/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/>
      <c r="H41" s="542"/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5" hidden="1" customHeight="1" x14ac:dyDescent="0.25">
      <c r="A42" s="530"/>
      <c r="B42" s="530"/>
      <c r="C42" s="531"/>
      <c r="D42" s="542"/>
      <c r="E42" s="535"/>
      <c r="F42" s="542"/>
      <c r="G42" s="535"/>
      <c r="H42" s="542"/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/>
      <c r="H43" s="542"/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0"/>
      <c r="D44" s="542"/>
      <c r="E44" s="535"/>
      <c r="F44" s="542"/>
      <c r="G44" s="535"/>
      <c r="H44" s="542"/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1"/>
      <c r="D45" s="542"/>
      <c r="E45" s="535"/>
      <c r="F45" s="542"/>
      <c r="G45" s="535"/>
      <c r="H45" s="542"/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/>
      <c r="H46" s="542"/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/>
      <c r="H47" s="542"/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7"/>
      <c r="B48" s="530"/>
      <c r="C48" s="531"/>
      <c r="D48" s="542"/>
      <c r="E48" s="535"/>
      <c r="F48" s="542"/>
      <c r="G48" s="535"/>
      <c r="H48" s="542"/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1"/>
      <c r="B49" s="530"/>
      <c r="C49" s="531"/>
      <c r="D49" s="542"/>
      <c r="E49" s="535"/>
      <c r="F49" s="542"/>
      <c r="G49" s="535"/>
      <c r="H49" s="542"/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0"/>
      <c r="B50" s="530"/>
      <c r="C50" s="530"/>
      <c r="D50" s="542"/>
      <c r="E50" s="530"/>
      <c r="F50" s="542"/>
      <c r="G50" s="535"/>
      <c r="H50" s="542"/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/>
      <c r="H51" s="542"/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/>
      <c r="H52" s="542"/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/>
      <c r="H53" s="542"/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/>
      <c r="H54" s="542"/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/>
      <c r="H55" s="542"/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/>
      <c r="H56" s="542"/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1"/>
      <c r="D57" s="542"/>
      <c r="E57" s="531"/>
      <c r="F57" s="542"/>
      <c r="G57" s="535"/>
      <c r="H57" s="542"/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/>
      <c r="H58" s="542"/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/>
      <c r="H59" s="542"/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5"/>
      <c r="F60" s="542"/>
      <c r="G60" s="535"/>
      <c r="H60" s="542"/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/>
      <c r="H61" s="542"/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/>
      <c r="H62" s="542"/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/>
      <c r="H63" s="542"/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/>
      <c r="H64" s="542"/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/>
      <c r="H65" s="542"/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/>
      <c r="H66" s="542"/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/>
      <c r="H67" s="542"/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/>
      <c r="H68" s="542"/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ref="Z68:Z82" si="2">SUM(K68:Y68)</f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/>
      <c r="H69" s="542"/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2"/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/>
      <c r="H70" s="542"/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2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/>
      <c r="H71" s="542"/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2"/>
        <v>0</v>
      </c>
    </row>
    <row r="72" spans="1:26" ht="15" hidden="1" customHeight="1" x14ac:dyDescent="0.25">
      <c r="A72" s="534"/>
      <c r="B72" s="530"/>
      <c r="C72" s="531"/>
      <c r="D72" s="542"/>
      <c r="E72" s="535"/>
      <c r="F72" s="542"/>
      <c r="G72" s="535"/>
      <c r="H72" s="542"/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2"/>
        <v>0</v>
      </c>
    </row>
    <row r="73" spans="1:26" ht="15" hidden="1" customHeight="1" x14ac:dyDescent="0.25">
      <c r="A73" s="530"/>
      <c r="B73" s="530"/>
      <c r="C73" s="531"/>
      <c r="D73" s="542"/>
      <c r="E73" s="535"/>
      <c r="F73" s="542"/>
      <c r="G73" s="535"/>
      <c r="H73" s="542"/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2"/>
        <v>0</v>
      </c>
    </row>
    <row r="74" spans="1:26" ht="15" hidden="1" customHeight="1" x14ac:dyDescent="0.25">
      <c r="A74" s="534"/>
      <c r="B74" s="530"/>
      <c r="C74" s="531"/>
      <c r="D74" s="542"/>
      <c r="E74" s="535"/>
      <c r="F74" s="542"/>
      <c r="G74" s="535"/>
      <c r="H74" s="542"/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2"/>
        <v>0</v>
      </c>
    </row>
    <row r="75" spans="1:26" ht="15" hidden="1" customHeight="1" x14ac:dyDescent="0.25">
      <c r="A75" s="530"/>
      <c r="B75" s="530"/>
      <c r="C75" s="531"/>
      <c r="D75" s="542"/>
      <c r="E75" s="535"/>
      <c r="F75" s="542"/>
      <c r="G75" s="535"/>
      <c r="H75" s="542"/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2"/>
        <v>0</v>
      </c>
    </row>
    <row r="76" spans="1:26" ht="15" hidden="1" customHeight="1" x14ac:dyDescent="0.25">
      <c r="A76" s="533"/>
      <c r="B76" s="530"/>
      <c r="C76" s="531"/>
      <c r="D76" s="542"/>
      <c r="E76" s="535"/>
      <c r="F76" s="542"/>
      <c r="G76" s="535"/>
      <c r="H76" s="542"/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2"/>
        <v>0</v>
      </c>
    </row>
    <row r="77" spans="1:26" ht="15" hidden="1" customHeight="1" x14ac:dyDescent="0.25">
      <c r="A77" s="530"/>
      <c r="B77" s="530"/>
      <c r="C77" s="531"/>
      <c r="D77" s="542"/>
      <c r="E77" s="535"/>
      <c r="F77" s="542"/>
      <c r="G77" s="535"/>
      <c r="H77" s="542"/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2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/>
      <c r="H78" s="542"/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2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/>
      <c r="H79" s="542"/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2"/>
        <v>0</v>
      </c>
    </row>
    <row r="80" spans="1:26" ht="15" hidden="1" customHeight="1" x14ac:dyDescent="0.25">
      <c r="A80" s="530"/>
      <c r="B80" s="530"/>
      <c r="C80" s="530"/>
      <c r="D80" s="542"/>
      <c r="E80" s="535"/>
      <c r="F80" s="542"/>
      <c r="G80" s="535"/>
      <c r="H80" s="542"/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2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/>
      <c r="H81" s="542"/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2"/>
        <v>0</v>
      </c>
    </row>
    <row r="82" spans="1:26" ht="15" customHeight="1" x14ac:dyDescent="0.25">
      <c r="A82" s="535"/>
      <c r="B82" s="535"/>
      <c r="C82" s="535"/>
      <c r="D82" s="542"/>
      <c r="E82" s="535"/>
      <c r="F82" s="542"/>
      <c r="G82" s="535"/>
      <c r="H82" s="542"/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2"/>
        <v>0</v>
      </c>
    </row>
    <row r="83" spans="1:26" ht="15" customHeight="1" x14ac:dyDescent="0.25">
      <c r="A83" s="443" t="s">
        <v>1221</v>
      </c>
      <c r="B83" s="444"/>
      <c r="C83" s="447">
        <f t="shared" ref="C83:Z83" si="3">SUM(C5:C82)</f>
        <v>113</v>
      </c>
      <c r="D83" s="466">
        <f t="shared" si="3"/>
        <v>169957.25</v>
      </c>
      <c r="E83" s="447">
        <f t="shared" si="3"/>
        <v>113</v>
      </c>
      <c r="F83" s="466">
        <f t="shared" si="3"/>
        <v>178247.15</v>
      </c>
      <c r="G83" s="447">
        <f t="shared" si="3"/>
        <v>0</v>
      </c>
      <c r="H83" s="466">
        <f t="shared" si="3"/>
        <v>8289.8999999999978</v>
      </c>
      <c r="I83" s="448">
        <f t="shared" si="3"/>
        <v>0</v>
      </c>
      <c r="J83" s="447">
        <f t="shared" si="3"/>
        <v>62197.74</v>
      </c>
      <c r="K83" s="448">
        <f t="shared" si="3"/>
        <v>0</v>
      </c>
      <c r="L83" s="447">
        <f t="shared" si="3"/>
        <v>0</v>
      </c>
      <c r="M83" s="447">
        <f t="shared" si="3"/>
        <v>0</v>
      </c>
      <c r="N83" s="447">
        <f t="shared" si="3"/>
        <v>0</v>
      </c>
      <c r="O83" s="447">
        <f t="shared" si="3"/>
        <v>0</v>
      </c>
      <c r="P83" s="447">
        <f t="shared" si="3"/>
        <v>0</v>
      </c>
      <c r="Q83" s="447">
        <f t="shared" si="3"/>
        <v>0</v>
      </c>
      <c r="R83" s="447">
        <f t="shared" si="3"/>
        <v>0</v>
      </c>
      <c r="S83" s="447">
        <f t="shared" si="3"/>
        <v>0</v>
      </c>
      <c r="T83" s="447">
        <f t="shared" si="3"/>
        <v>0</v>
      </c>
      <c r="U83" s="447">
        <f t="shared" si="3"/>
        <v>0</v>
      </c>
      <c r="V83" s="447">
        <f t="shared" si="3"/>
        <v>0</v>
      </c>
      <c r="W83" s="447">
        <f t="shared" si="3"/>
        <v>0</v>
      </c>
      <c r="X83" s="447">
        <f t="shared" si="3"/>
        <v>0</v>
      </c>
      <c r="Y83" s="447">
        <f t="shared" si="3"/>
        <v>0</v>
      </c>
      <c r="Z83" s="447">
        <f t="shared" si="3"/>
        <v>0</v>
      </c>
    </row>
    <row r="85" spans="1:26" x14ac:dyDescent="0.25">
      <c r="A85" s="739" t="s">
        <v>1227</v>
      </c>
      <c r="B85" s="739"/>
    </row>
    <row r="86" spans="1:26" ht="30" x14ac:dyDescent="0.25">
      <c r="A86" s="547" t="s">
        <v>1</v>
      </c>
      <c r="B86" s="547"/>
      <c r="C86" s="548" t="s">
        <v>1222</v>
      </c>
      <c r="D86" s="548" t="s">
        <v>1223</v>
      </c>
      <c r="E86" s="548" t="s">
        <v>392</v>
      </c>
      <c r="F86" s="549" t="s">
        <v>2</v>
      </c>
      <c r="G86" s="550" t="s">
        <v>1225</v>
      </c>
      <c r="H86" s="551" t="s">
        <v>1224</v>
      </c>
      <c r="I86" s="551" t="s">
        <v>1498</v>
      </c>
      <c r="J86" s="551" t="s">
        <v>94</v>
      </c>
      <c r="K86" s="552" t="s">
        <v>681</v>
      </c>
      <c r="L86" s="552" t="s">
        <v>1496</v>
      </c>
      <c r="M86" s="552" t="s">
        <v>1497</v>
      </c>
      <c r="N86" s="552" t="s">
        <v>682</v>
      </c>
      <c r="O86" s="552" t="s">
        <v>683</v>
      </c>
      <c r="P86" s="552" t="s">
        <v>87</v>
      </c>
      <c r="Q86" s="552" t="s">
        <v>684</v>
      </c>
      <c r="R86" s="552" t="s">
        <v>685</v>
      </c>
      <c r="S86" s="552" t="s">
        <v>690</v>
      </c>
      <c r="T86" s="552" t="s">
        <v>686</v>
      </c>
      <c r="U86" s="552" t="s">
        <v>687</v>
      </c>
      <c r="V86" s="552" t="s">
        <v>688</v>
      </c>
      <c r="W86" s="552" t="s">
        <v>689</v>
      </c>
      <c r="X86" s="552" t="s">
        <v>138</v>
      </c>
      <c r="Y86" s="552" t="s">
        <v>1385</v>
      </c>
      <c r="Z86" s="552" t="s">
        <v>1238</v>
      </c>
    </row>
    <row r="87" spans="1:26" ht="15" customHeight="1" x14ac:dyDescent="0.25">
      <c r="A87" s="571" t="s">
        <v>1851</v>
      </c>
      <c r="B87" s="496" t="s">
        <v>115</v>
      </c>
      <c r="C87" s="497">
        <v>43040</v>
      </c>
      <c r="D87" s="498">
        <v>43043</v>
      </c>
      <c r="E87" s="499">
        <v>3</v>
      </c>
      <c r="F87" s="498">
        <v>43043</v>
      </c>
      <c r="G87" s="499">
        <v>1</v>
      </c>
      <c r="H87" s="732">
        <v>1693</v>
      </c>
      <c r="I87" s="732">
        <v>2500</v>
      </c>
      <c r="J87" s="554">
        <v>677</v>
      </c>
      <c r="K87" s="496"/>
      <c r="L87" s="496"/>
      <c r="M87" s="496"/>
      <c r="N87" s="496"/>
      <c r="O87" s="496"/>
      <c r="P87" s="496"/>
      <c r="Q87" s="496">
        <v>1</v>
      </c>
      <c r="R87" s="496"/>
      <c r="S87" s="496"/>
      <c r="T87" s="496"/>
      <c r="U87" s="496"/>
      <c r="V87" s="496"/>
      <c r="W87" s="496"/>
      <c r="X87" s="496"/>
      <c r="Y87" s="496"/>
      <c r="Z87" s="496">
        <f>SUM(K87:Y87)</f>
        <v>1</v>
      </c>
    </row>
    <row r="88" spans="1:26" ht="15" customHeight="1" x14ac:dyDescent="0.25">
      <c r="A88" s="571" t="s">
        <v>1854</v>
      </c>
      <c r="B88" s="496" t="s">
        <v>61</v>
      </c>
      <c r="C88" s="497">
        <v>43028</v>
      </c>
      <c r="D88" s="498">
        <v>43054</v>
      </c>
      <c r="E88" s="499">
        <v>25</v>
      </c>
      <c r="F88" s="498">
        <v>43054</v>
      </c>
      <c r="G88" s="499">
        <v>1</v>
      </c>
      <c r="H88" s="732">
        <v>1693</v>
      </c>
      <c r="I88" s="732">
        <v>5000</v>
      </c>
      <c r="J88" s="554">
        <v>677</v>
      </c>
      <c r="K88" s="496"/>
      <c r="L88" s="496"/>
      <c r="M88" s="496"/>
      <c r="N88" s="496"/>
      <c r="O88" s="496"/>
      <c r="P88" s="496">
        <v>1</v>
      </c>
      <c r="Q88" s="496"/>
      <c r="R88" s="496"/>
      <c r="S88" s="496"/>
      <c r="T88" s="496"/>
      <c r="U88" s="496"/>
      <c r="V88" s="496"/>
      <c r="W88" s="496"/>
      <c r="X88" s="496"/>
      <c r="Y88" s="496"/>
      <c r="Z88" s="496"/>
    </row>
    <row r="89" spans="1:26" ht="15" customHeight="1" x14ac:dyDescent="0.25">
      <c r="A89" s="543" t="s">
        <v>1856</v>
      </c>
      <c r="B89" s="535" t="s">
        <v>61</v>
      </c>
      <c r="C89" s="487">
        <v>42984</v>
      </c>
      <c r="D89" s="488">
        <v>43054</v>
      </c>
      <c r="E89" s="486">
        <v>69</v>
      </c>
      <c r="F89" s="488">
        <v>43054</v>
      </c>
      <c r="G89" s="486">
        <v>1</v>
      </c>
      <c r="H89" s="476">
        <v>1693</v>
      </c>
      <c r="I89" s="476">
        <v>2500</v>
      </c>
      <c r="J89" s="539">
        <v>677</v>
      </c>
      <c r="K89" s="535"/>
      <c r="L89" s="535"/>
      <c r="M89" s="535"/>
      <c r="N89" s="535"/>
      <c r="O89" s="535"/>
      <c r="P89" s="535">
        <v>1</v>
      </c>
      <c r="Q89" s="535"/>
      <c r="R89" s="535"/>
      <c r="S89" s="535"/>
      <c r="T89" s="535"/>
      <c r="U89" s="535"/>
      <c r="V89" s="535"/>
      <c r="W89" s="535"/>
      <c r="X89" s="535"/>
      <c r="Y89" s="535"/>
      <c r="Z89" s="496"/>
    </row>
    <row r="90" spans="1:26" x14ac:dyDescent="0.25">
      <c r="A90" s="731" t="s">
        <v>1865</v>
      </c>
      <c r="B90" s="535" t="s">
        <v>115</v>
      </c>
      <c r="C90" s="487">
        <v>43034</v>
      </c>
      <c r="D90" s="488">
        <v>43067</v>
      </c>
      <c r="E90" s="486">
        <v>32</v>
      </c>
      <c r="F90" s="488">
        <v>43055</v>
      </c>
      <c r="G90" s="486">
        <v>1</v>
      </c>
      <c r="H90" s="476">
        <v>1693</v>
      </c>
      <c r="I90" s="476">
        <v>2500</v>
      </c>
      <c r="J90" s="539">
        <v>677</v>
      </c>
      <c r="K90" s="535"/>
      <c r="L90" s="535"/>
      <c r="M90" s="535"/>
      <c r="N90" s="535"/>
      <c r="O90" s="535"/>
      <c r="P90" s="535"/>
      <c r="Q90" s="535">
        <v>1</v>
      </c>
      <c r="R90" s="535"/>
      <c r="S90" s="535"/>
      <c r="T90" s="535"/>
      <c r="U90" s="535"/>
      <c r="V90" s="535"/>
      <c r="W90" s="535"/>
      <c r="X90" s="535"/>
      <c r="Y90" s="535"/>
      <c r="Z90" s="496"/>
    </row>
    <row r="91" spans="1:26" ht="15" customHeight="1" x14ac:dyDescent="0.25">
      <c r="A91" s="538"/>
      <c r="B91" s="535"/>
      <c r="C91" s="487"/>
      <c r="D91" s="488"/>
      <c r="E91" s="486"/>
      <c r="F91" s="488"/>
      <c r="G91" s="486"/>
      <c r="H91" s="539"/>
      <c r="I91" s="539"/>
      <c r="J91" s="539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496">
        <f t="shared" ref="Z91:Z94" si="4">SUM(K91:Y91)</f>
        <v>0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496">
        <f t="shared" si="4"/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456"/>
      <c r="J93" s="456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4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4"/>
        <v>0</v>
      </c>
    </row>
    <row r="95" spans="1:26" ht="15" customHeight="1" x14ac:dyDescent="0.25">
      <c r="A95" s="443" t="s">
        <v>1226</v>
      </c>
      <c r="B95" s="444"/>
      <c r="C95" s="445"/>
      <c r="D95" s="446"/>
      <c r="E95" s="447"/>
      <c r="F95" s="446"/>
      <c r="G95" s="447">
        <f>SUM(G93:G94)</f>
        <v>0</v>
      </c>
      <c r="H95" s="448">
        <f>SUM(H87:H94)</f>
        <v>6772</v>
      </c>
      <c r="I95" s="448">
        <f>SUM(I87:I94)</f>
        <v>12500</v>
      </c>
      <c r="J95" s="448">
        <f>SUM(J87:J94)</f>
        <v>2708</v>
      </c>
      <c r="K95" s="447">
        <f>SUM(K87:K94)</f>
        <v>0</v>
      </c>
      <c r="L95" s="447">
        <f t="shared" ref="L95:Z95" si="5">SUM(L87:L94)</f>
        <v>0</v>
      </c>
      <c r="M95" s="447">
        <f t="shared" si="5"/>
        <v>0</v>
      </c>
      <c r="N95" s="447">
        <f t="shared" si="5"/>
        <v>0</v>
      </c>
      <c r="O95" s="447">
        <f t="shared" si="5"/>
        <v>0</v>
      </c>
      <c r="P95" s="447">
        <f t="shared" si="5"/>
        <v>2</v>
      </c>
      <c r="Q95" s="447">
        <f t="shared" si="5"/>
        <v>2</v>
      </c>
      <c r="R95" s="447">
        <f t="shared" si="5"/>
        <v>0</v>
      </c>
      <c r="S95" s="447">
        <f t="shared" si="5"/>
        <v>0</v>
      </c>
      <c r="T95" s="447">
        <f t="shared" si="5"/>
        <v>0</v>
      </c>
      <c r="U95" s="447">
        <f t="shared" si="5"/>
        <v>0</v>
      </c>
      <c r="V95" s="447">
        <f t="shared" si="5"/>
        <v>0</v>
      </c>
      <c r="W95" s="447">
        <f t="shared" si="5"/>
        <v>0</v>
      </c>
      <c r="X95" s="447">
        <f t="shared" si="5"/>
        <v>0</v>
      </c>
      <c r="Y95" s="447">
        <f t="shared" si="5"/>
        <v>0</v>
      </c>
      <c r="Z95" s="447">
        <f t="shared" si="5"/>
        <v>1</v>
      </c>
    </row>
    <row r="96" spans="1:26" ht="15" customHeight="1" x14ac:dyDescent="0.25">
      <c r="A96" s="428"/>
      <c r="B96" s="422"/>
      <c r="C96" s="422"/>
      <c r="D96" s="429"/>
      <c r="E96" s="422"/>
      <c r="F96" s="429"/>
      <c r="G96" s="433"/>
      <c r="H96" s="422"/>
      <c r="I96" s="422"/>
      <c r="J96" s="422"/>
    </row>
    <row r="97" spans="1:26" x14ac:dyDescent="0.25">
      <c r="A97" s="739" t="s">
        <v>1228</v>
      </c>
      <c r="B97" s="739"/>
      <c r="G97" s="420"/>
    </row>
    <row r="98" spans="1:26" ht="30" x14ac:dyDescent="0.25">
      <c r="A98" s="570" t="s">
        <v>1</v>
      </c>
      <c r="B98" s="570" t="s">
        <v>59</v>
      </c>
      <c r="C98" s="425" t="s">
        <v>1222</v>
      </c>
      <c r="D98" s="425" t="s">
        <v>1223</v>
      </c>
      <c r="E98" s="425" t="s">
        <v>392</v>
      </c>
      <c r="F98" s="426" t="s">
        <v>2</v>
      </c>
      <c r="G98" s="432" t="s">
        <v>1225</v>
      </c>
      <c r="H98" s="427" t="s">
        <v>1224</v>
      </c>
      <c r="I98" s="427" t="s">
        <v>1498</v>
      </c>
      <c r="J98" s="427" t="s">
        <v>94</v>
      </c>
      <c r="K98" s="424" t="s">
        <v>681</v>
      </c>
      <c r="L98" s="424" t="s">
        <v>1496</v>
      </c>
      <c r="M98" s="424" t="s">
        <v>1497</v>
      </c>
      <c r="N98" s="424" t="s">
        <v>682</v>
      </c>
      <c r="O98" s="424" t="s">
        <v>683</v>
      </c>
      <c r="P98" s="424" t="s">
        <v>87</v>
      </c>
      <c r="Q98" s="424" t="s">
        <v>684</v>
      </c>
      <c r="R98" s="424" t="s">
        <v>685</v>
      </c>
      <c r="S98" s="424" t="s">
        <v>690</v>
      </c>
      <c r="T98" s="424" t="s">
        <v>686</v>
      </c>
      <c r="U98" s="424" t="s">
        <v>687</v>
      </c>
      <c r="V98" s="424" t="s">
        <v>688</v>
      </c>
      <c r="W98" s="424" t="s">
        <v>689</v>
      </c>
      <c r="X98" s="424" t="s">
        <v>138</v>
      </c>
      <c r="Y98" s="424" t="s">
        <v>1385</v>
      </c>
      <c r="Z98" s="424" t="s">
        <v>1238</v>
      </c>
    </row>
    <row r="99" spans="1:26" ht="15" customHeight="1" x14ac:dyDescent="0.25">
      <c r="A99" s="730" t="s">
        <v>1641</v>
      </c>
      <c r="B99" s="535" t="s">
        <v>61</v>
      </c>
      <c r="C99" s="487">
        <v>43026</v>
      </c>
      <c r="D99" s="488">
        <v>43040</v>
      </c>
      <c r="E99" s="486">
        <v>14</v>
      </c>
      <c r="F99" s="488">
        <v>43040</v>
      </c>
      <c r="G99" s="486">
        <v>1</v>
      </c>
      <c r="H99" s="476">
        <v>1693</v>
      </c>
      <c r="I99" s="539">
        <v>0</v>
      </c>
      <c r="J99" s="539">
        <v>677</v>
      </c>
      <c r="K99" s="535"/>
      <c r="L99" s="535"/>
      <c r="M99" s="535"/>
      <c r="N99" s="535"/>
      <c r="O99" s="535"/>
      <c r="P99" s="535"/>
      <c r="Q99" s="535">
        <v>1</v>
      </c>
      <c r="R99" s="535"/>
      <c r="S99" s="535"/>
      <c r="T99" s="535"/>
      <c r="U99" s="535"/>
      <c r="V99" s="535"/>
      <c r="W99" s="535"/>
      <c r="X99" s="535"/>
      <c r="Y99" s="535"/>
      <c r="Z99" s="535">
        <f>SUM(K99:Y99)</f>
        <v>1</v>
      </c>
    </row>
    <row r="100" spans="1:26" s="457" customFormat="1" ht="15" customHeight="1" x14ac:dyDescent="0.25">
      <c r="A100" s="538"/>
      <c r="B100" s="535"/>
      <c r="C100" s="487"/>
      <c r="D100" s="488"/>
      <c r="E100" s="486"/>
      <c r="F100" s="488"/>
      <c r="G100" s="486"/>
      <c r="H100" s="539"/>
      <c r="I100" s="539"/>
      <c r="J100" s="539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452"/>
      <c r="Z100" s="535">
        <f t="shared" ref="Z100" si="6">SUM(K100:Y100)</f>
        <v>0</v>
      </c>
    </row>
    <row r="101" spans="1:26" s="457" customFormat="1" ht="15" customHeight="1" x14ac:dyDescent="0.25">
      <c r="A101" s="538"/>
      <c r="B101" s="535"/>
      <c r="C101" s="487"/>
      <c r="D101" s="488"/>
      <c r="E101" s="486"/>
      <c r="F101" s="488"/>
      <c r="G101" s="486"/>
      <c r="H101" s="539"/>
      <c r="I101" s="539"/>
      <c r="J101" s="539"/>
      <c r="K101" s="535"/>
      <c r="L101" s="535"/>
      <c r="M101" s="535"/>
      <c r="N101" s="535"/>
      <c r="O101" s="535"/>
      <c r="P101" s="535">
        <v>1</v>
      </c>
      <c r="Q101" s="535"/>
      <c r="R101" s="535"/>
      <c r="S101" s="535"/>
      <c r="T101" s="535"/>
      <c r="U101" s="535"/>
      <c r="V101" s="535"/>
      <c r="W101" s="535"/>
      <c r="X101" s="535"/>
      <c r="Y101" s="452"/>
      <c r="Z101" s="535"/>
    </row>
    <row r="102" spans="1:26" s="457" customFormat="1" ht="15" customHeight="1" x14ac:dyDescent="0.25">
      <c r="A102" s="538"/>
      <c r="B102" s="535"/>
      <c r="C102" s="487"/>
      <c r="D102" s="488"/>
      <c r="E102" s="486"/>
      <c r="F102" s="488"/>
      <c r="G102" s="486"/>
      <c r="H102" s="539"/>
      <c r="I102" s="539"/>
      <c r="J102" s="539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452"/>
      <c r="Z102" s="535"/>
    </row>
    <row r="103" spans="1:26" s="457" customFormat="1" ht="15" customHeight="1" x14ac:dyDescent="0.25">
      <c r="A103" s="538"/>
      <c r="B103" s="535"/>
      <c r="C103" s="487"/>
      <c r="D103" s="488"/>
      <c r="E103" s="486"/>
      <c r="F103" s="488"/>
      <c r="G103" s="486"/>
      <c r="H103" s="539"/>
      <c r="I103" s="539"/>
      <c r="J103" s="539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452"/>
      <c r="Z103" s="535"/>
    </row>
    <row r="104" spans="1:26" s="457" customFormat="1" ht="15" customHeight="1" x14ac:dyDescent="0.25">
      <c r="A104" s="538"/>
      <c r="B104" s="535"/>
      <c r="C104" s="487"/>
      <c r="D104" s="488"/>
      <c r="E104" s="486"/>
      <c r="F104" s="488"/>
      <c r="G104" s="486"/>
      <c r="H104" s="539"/>
      <c r="I104" s="539"/>
      <c r="J104" s="539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452"/>
      <c r="Z104" s="535"/>
    </row>
    <row r="105" spans="1:26" s="457" customFormat="1" ht="15" customHeight="1" x14ac:dyDescent="0.25">
      <c r="A105" s="541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/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/>
    </row>
    <row r="107" spans="1:26" ht="15" customHeight="1" x14ac:dyDescent="0.25">
      <c r="A107" s="443" t="s">
        <v>450</v>
      </c>
      <c r="B107" s="444"/>
      <c r="C107" s="445"/>
      <c r="D107" s="446"/>
      <c r="E107" s="447"/>
      <c r="F107" s="446"/>
      <c r="G107" s="447">
        <f t="shared" ref="G107:Z107" si="7">SUM(G99:G106)</f>
        <v>1</v>
      </c>
      <c r="H107" s="448">
        <f t="shared" si="7"/>
        <v>1693</v>
      </c>
      <c r="I107" s="448">
        <f>SUM(I99:I106)</f>
        <v>0</v>
      </c>
      <c r="J107" s="448">
        <f>SUM(J99:J106)</f>
        <v>677</v>
      </c>
      <c r="K107" s="447">
        <f t="shared" si="7"/>
        <v>0</v>
      </c>
      <c r="L107" s="447">
        <f t="shared" si="7"/>
        <v>0</v>
      </c>
      <c r="M107" s="447">
        <f t="shared" si="7"/>
        <v>0</v>
      </c>
      <c r="N107" s="447">
        <f t="shared" si="7"/>
        <v>0</v>
      </c>
      <c r="O107" s="447">
        <f t="shared" si="7"/>
        <v>0</v>
      </c>
      <c r="P107" s="447">
        <f t="shared" si="7"/>
        <v>1</v>
      </c>
      <c r="Q107" s="447">
        <f t="shared" si="7"/>
        <v>1</v>
      </c>
      <c r="R107" s="447">
        <f t="shared" si="7"/>
        <v>0</v>
      </c>
      <c r="S107" s="447">
        <f t="shared" si="7"/>
        <v>0</v>
      </c>
      <c r="T107" s="447">
        <f t="shared" si="7"/>
        <v>0</v>
      </c>
      <c r="U107" s="447">
        <f t="shared" si="7"/>
        <v>0</v>
      </c>
      <c r="V107" s="447">
        <f t="shared" si="7"/>
        <v>0</v>
      </c>
      <c r="W107" s="447">
        <f t="shared" si="7"/>
        <v>0</v>
      </c>
      <c r="X107" s="447"/>
      <c r="Y107" s="447"/>
      <c r="Z107" s="447">
        <f t="shared" si="7"/>
        <v>1</v>
      </c>
    </row>
    <row r="109" spans="1:26" x14ac:dyDescent="0.25">
      <c r="A109" s="739" t="s">
        <v>1229</v>
      </c>
      <c r="B109" s="739"/>
    </row>
    <row r="110" spans="1:26" ht="30" x14ac:dyDescent="0.25">
      <c r="A110" s="570" t="s">
        <v>1</v>
      </c>
      <c r="B110" s="570" t="s">
        <v>59</v>
      </c>
      <c r="C110" s="425"/>
      <c r="D110" s="425"/>
      <c r="E110" s="425"/>
      <c r="F110" s="426"/>
      <c r="G110" s="432" t="s">
        <v>1225</v>
      </c>
      <c r="H110" s="427" t="s">
        <v>1224</v>
      </c>
      <c r="I110" s="427" t="s">
        <v>1498</v>
      </c>
      <c r="J110" s="427" t="s">
        <v>94</v>
      </c>
      <c r="K110" s="424" t="s">
        <v>681</v>
      </c>
      <c r="L110" s="424" t="s">
        <v>1496</v>
      </c>
      <c r="M110" s="424" t="s">
        <v>1497</v>
      </c>
      <c r="N110" s="424" t="s">
        <v>682</v>
      </c>
      <c r="O110" s="424" t="s">
        <v>683</v>
      </c>
      <c r="P110" s="424" t="s">
        <v>87</v>
      </c>
      <c r="Q110" s="424" t="s">
        <v>684</v>
      </c>
      <c r="R110" s="424" t="s">
        <v>685</v>
      </c>
      <c r="S110" s="424" t="s">
        <v>690</v>
      </c>
      <c r="T110" s="424" t="s">
        <v>686</v>
      </c>
      <c r="U110" s="424" t="s">
        <v>687</v>
      </c>
      <c r="V110" s="424" t="s">
        <v>688</v>
      </c>
      <c r="W110" s="424" t="s">
        <v>689</v>
      </c>
      <c r="X110" s="424" t="s">
        <v>138</v>
      </c>
      <c r="Y110" s="424" t="s">
        <v>1385</v>
      </c>
      <c r="Z110" s="424" t="s">
        <v>1238</v>
      </c>
    </row>
    <row r="111" spans="1:26" s="457" customFormat="1" x14ac:dyDescent="0.25">
      <c r="A111" s="543" t="s">
        <v>1853</v>
      </c>
      <c r="B111" s="535" t="s">
        <v>61</v>
      </c>
      <c r="C111" s="487">
        <v>43026</v>
      </c>
      <c r="D111" s="488">
        <v>43040</v>
      </c>
      <c r="E111" s="486">
        <v>14</v>
      </c>
      <c r="F111" s="488">
        <v>43040</v>
      </c>
      <c r="G111" s="486">
        <v>3</v>
      </c>
      <c r="H111" s="476">
        <v>-7279</v>
      </c>
      <c r="I111" s="539">
        <v>0</v>
      </c>
      <c r="J111" s="539">
        <v>-2031</v>
      </c>
      <c r="K111" s="535"/>
      <c r="L111" s="535">
        <v>-1</v>
      </c>
      <c r="M111" s="535">
        <v>-1</v>
      </c>
      <c r="N111" s="535"/>
      <c r="O111" s="535">
        <v>-1</v>
      </c>
      <c r="P111" s="535"/>
      <c r="Q111" s="535"/>
      <c r="R111" s="535"/>
      <c r="S111" s="535"/>
      <c r="T111" s="535"/>
      <c r="U111" s="535"/>
      <c r="V111" s="535"/>
      <c r="W111" s="535"/>
      <c r="X111" s="535"/>
      <c r="Y111" s="535"/>
      <c r="Z111" s="535">
        <f t="shared" ref="Z111:Z119" si="8">SUM(K111:Y111)</f>
        <v>-3</v>
      </c>
    </row>
    <row r="112" spans="1:26" ht="15" customHeight="1" x14ac:dyDescent="0.25">
      <c r="A112" s="543" t="s">
        <v>1860</v>
      </c>
      <c r="B112" s="535" t="s">
        <v>61</v>
      </c>
      <c r="C112" s="487">
        <v>43026</v>
      </c>
      <c r="D112" s="488">
        <v>43068</v>
      </c>
      <c r="E112" s="486">
        <v>41</v>
      </c>
      <c r="F112" s="488">
        <v>42997</v>
      </c>
      <c r="G112" s="486">
        <v>2</v>
      </c>
      <c r="H112" s="476">
        <v>-798</v>
      </c>
      <c r="I112" s="539">
        <v>0</v>
      </c>
      <c r="J112" s="539">
        <v>-318</v>
      </c>
      <c r="K112" s="535"/>
      <c r="L112" s="535"/>
      <c r="M112" s="535"/>
      <c r="N112" s="535"/>
      <c r="O112" s="535"/>
      <c r="P112" s="535"/>
      <c r="Q112" s="535"/>
      <c r="R112" s="535"/>
      <c r="S112" s="535">
        <v>-1</v>
      </c>
      <c r="T112" s="535"/>
      <c r="U112" s="535">
        <v>-1</v>
      </c>
      <c r="V112" s="535"/>
      <c r="W112" s="535"/>
      <c r="X112" s="535"/>
      <c r="Y112" s="535"/>
      <c r="Z112" s="535">
        <f t="shared" si="8"/>
        <v>-2</v>
      </c>
    </row>
    <row r="113" spans="1:26" ht="15" customHeight="1" x14ac:dyDescent="0.25">
      <c r="A113" s="538"/>
      <c r="B113" s="535"/>
      <c r="C113" s="487"/>
      <c r="D113" s="488"/>
      <c r="E113" s="486"/>
      <c r="F113" s="488"/>
      <c r="G113" s="486"/>
      <c r="H113" s="539"/>
      <c r="I113" s="539"/>
      <c r="J113" s="539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8"/>
        <v>0</v>
      </c>
    </row>
    <row r="114" spans="1:26" s="457" customFormat="1" ht="15" customHeight="1" x14ac:dyDescent="0.25">
      <c r="A114" s="531"/>
      <c r="B114" s="535"/>
      <c r="C114" s="487"/>
      <c r="D114" s="488"/>
      <c r="E114" s="486"/>
      <c r="F114" s="488"/>
      <c r="G114" s="486"/>
      <c r="H114" s="542"/>
      <c r="I114" s="539"/>
      <c r="J114" s="539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8"/>
        <v>0</v>
      </c>
    </row>
    <row r="115" spans="1:26" ht="15" customHeight="1" x14ac:dyDescent="0.25">
      <c r="A115" s="531"/>
      <c r="B115" s="535"/>
      <c r="C115" s="487"/>
      <c r="D115" s="488"/>
      <c r="E115" s="486"/>
      <c r="F115" s="488"/>
      <c r="G115" s="486"/>
      <c r="H115" s="542"/>
      <c r="I115" s="539"/>
      <c r="J115" s="539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>
        <f t="shared" si="8"/>
        <v>0</v>
      </c>
    </row>
    <row r="116" spans="1:26" ht="15" customHeight="1" x14ac:dyDescent="0.25">
      <c r="A116" s="531"/>
      <c r="B116" s="535"/>
      <c r="C116" s="487"/>
      <c r="D116" s="488"/>
      <c r="E116" s="486"/>
      <c r="F116" s="488"/>
      <c r="G116" s="486"/>
      <c r="H116" s="542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8"/>
        <v>0</v>
      </c>
    </row>
    <row r="117" spans="1:26" s="457" customFormat="1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8"/>
        <v>0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8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8"/>
        <v>0</v>
      </c>
    </row>
    <row r="120" spans="1:26" ht="15" customHeight="1" x14ac:dyDescent="0.25">
      <c r="A120" s="443" t="s">
        <v>1230</v>
      </c>
      <c r="B120" s="444"/>
      <c r="C120" s="445"/>
      <c r="D120" s="446"/>
      <c r="E120" s="447"/>
      <c r="F120" s="446"/>
      <c r="G120" s="447">
        <f>SUM(G111:G119)</f>
        <v>5</v>
      </c>
      <c r="H120" s="448">
        <f>SUM(H111:H119)</f>
        <v>-8077</v>
      </c>
      <c r="I120" s="448">
        <f t="shared" ref="I120:J120" si="9">SUM(I111:I119)</f>
        <v>0</v>
      </c>
      <c r="J120" s="448">
        <f t="shared" si="9"/>
        <v>-2349</v>
      </c>
      <c r="K120" s="447">
        <f>SUM(K111:K119)</f>
        <v>0</v>
      </c>
      <c r="L120" s="447">
        <f t="shared" ref="L120:Z120" si="10">SUM(L111:L119)</f>
        <v>-1</v>
      </c>
      <c r="M120" s="447">
        <f t="shared" si="10"/>
        <v>-1</v>
      </c>
      <c r="N120" s="447">
        <f t="shared" si="10"/>
        <v>0</v>
      </c>
      <c r="O120" s="447">
        <f t="shared" si="10"/>
        <v>-1</v>
      </c>
      <c r="P120" s="447">
        <f t="shared" si="10"/>
        <v>0</v>
      </c>
      <c r="Q120" s="447">
        <f t="shared" si="10"/>
        <v>0</v>
      </c>
      <c r="R120" s="447">
        <f t="shared" si="10"/>
        <v>0</v>
      </c>
      <c r="S120" s="447">
        <f t="shared" si="10"/>
        <v>-1</v>
      </c>
      <c r="T120" s="447">
        <f t="shared" si="10"/>
        <v>0</v>
      </c>
      <c r="U120" s="447">
        <f t="shared" si="10"/>
        <v>-1</v>
      </c>
      <c r="V120" s="447">
        <f t="shared" si="10"/>
        <v>0</v>
      </c>
      <c r="W120" s="447">
        <f t="shared" si="10"/>
        <v>0</v>
      </c>
      <c r="X120" s="447">
        <f t="shared" si="10"/>
        <v>0</v>
      </c>
      <c r="Y120" s="447">
        <f t="shared" si="10"/>
        <v>0</v>
      </c>
      <c r="Z120" s="447">
        <f t="shared" si="10"/>
        <v>-5</v>
      </c>
    </row>
    <row r="122" spans="1:26" x14ac:dyDescent="0.25">
      <c r="A122" s="739" t="s">
        <v>1231</v>
      </c>
      <c r="B122" s="739"/>
    </row>
    <row r="123" spans="1:26" ht="30" x14ac:dyDescent="0.25">
      <c r="A123" s="570" t="s">
        <v>1</v>
      </c>
      <c r="B123" s="570" t="s">
        <v>59</v>
      </c>
      <c r="C123" s="425"/>
      <c r="D123" s="425"/>
      <c r="E123" s="425"/>
      <c r="F123" s="426"/>
      <c r="G123" s="432" t="s">
        <v>1225</v>
      </c>
      <c r="H123" s="427" t="s">
        <v>1224</v>
      </c>
      <c r="I123" s="427" t="s">
        <v>1498</v>
      </c>
      <c r="J123" s="427" t="s">
        <v>94</v>
      </c>
      <c r="K123" s="424" t="s">
        <v>681</v>
      </c>
      <c r="L123" s="424" t="s">
        <v>1496</v>
      </c>
      <c r="M123" s="424" t="s">
        <v>1497</v>
      </c>
      <c r="N123" s="424" t="s">
        <v>682</v>
      </c>
      <c r="O123" s="424" t="s">
        <v>683</v>
      </c>
      <c r="P123" s="424" t="s">
        <v>87</v>
      </c>
      <c r="Q123" s="424" t="s">
        <v>684</v>
      </c>
      <c r="R123" s="424" t="s">
        <v>685</v>
      </c>
      <c r="S123" s="424" t="s">
        <v>690</v>
      </c>
      <c r="T123" s="424" t="s">
        <v>686</v>
      </c>
      <c r="U123" s="424" t="s">
        <v>687</v>
      </c>
      <c r="V123" s="424" t="s">
        <v>688</v>
      </c>
      <c r="W123" s="424" t="s">
        <v>689</v>
      </c>
      <c r="X123" s="424" t="s">
        <v>138</v>
      </c>
      <c r="Y123" s="424" t="s">
        <v>1385</v>
      </c>
      <c r="Z123" s="424" t="s">
        <v>1238</v>
      </c>
    </row>
    <row r="124" spans="1:26" ht="15" customHeight="1" x14ac:dyDescent="0.25">
      <c r="A124" s="538" t="s">
        <v>255</v>
      </c>
      <c r="B124" s="716" t="s">
        <v>115</v>
      </c>
      <c r="C124" s="487"/>
      <c r="D124" s="488"/>
      <c r="E124" s="486"/>
      <c r="F124" s="488"/>
      <c r="G124" s="486">
        <v>-1</v>
      </c>
      <c r="H124" s="539">
        <v>-1643</v>
      </c>
      <c r="I124" s="539"/>
      <c r="J124" s="539">
        <v>-677</v>
      </c>
      <c r="K124" s="535">
        <v>-1</v>
      </c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>
        <f t="shared" ref="Z124:Z126" si="11">SUM(K124:Y124)</f>
        <v>-1</v>
      </c>
    </row>
    <row r="125" spans="1:26" ht="15" customHeight="1" x14ac:dyDescent="0.25">
      <c r="A125" s="531" t="s">
        <v>356</v>
      </c>
      <c r="B125" s="535"/>
      <c r="C125" s="487"/>
      <c r="D125" s="488"/>
      <c r="E125" s="486"/>
      <c r="F125" s="488"/>
      <c r="G125" s="486">
        <v>-3</v>
      </c>
      <c r="H125" s="539">
        <v>-4929</v>
      </c>
      <c r="I125" s="539"/>
      <c r="J125" s="539">
        <v>-1971</v>
      </c>
      <c r="K125" s="535"/>
      <c r="L125" s="535"/>
      <c r="M125" s="535"/>
      <c r="N125" s="535"/>
      <c r="O125" s="535"/>
      <c r="P125" s="535"/>
      <c r="Q125" s="535"/>
      <c r="R125" s="535"/>
      <c r="S125" s="535"/>
      <c r="T125" s="535"/>
      <c r="U125" s="535"/>
      <c r="V125" s="535"/>
      <c r="W125" s="535"/>
      <c r="X125" s="535"/>
      <c r="Y125" s="535"/>
      <c r="Z125" s="535">
        <f t="shared" si="11"/>
        <v>0</v>
      </c>
    </row>
    <row r="126" spans="1:26" ht="15" customHeight="1" x14ac:dyDescent="0.25">
      <c r="A126" s="538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1"/>
        <v>0</v>
      </c>
    </row>
    <row r="127" spans="1:26" ht="15" customHeight="1" x14ac:dyDescent="0.25">
      <c r="A127" s="443" t="s">
        <v>1230</v>
      </c>
      <c r="B127" s="444"/>
      <c r="C127" s="445"/>
      <c r="D127" s="446"/>
      <c r="E127" s="447"/>
      <c r="F127" s="446"/>
      <c r="G127" s="447">
        <f>SUM(G124:G126)</f>
        <v>-4</v>
      </c>
      <c r="H127" s="448">
        <f>SUM(H124:H126)</f>
        <v>-6572</v>
      </c>
      <c r="I127" s="448">
        <f t="shared" ref="I127:Z127" si="12">SUM(I124:I126)</f>
        <v>0</v>
      </c>
      <c r="J127" s="448">
        <f t="shared" si="12"/>
        <v>-2648</v>
      </c>
      <c r="K127" s="447">
        <f t="shared" si="12"/>
        <v>-1</v>
      </c>
      <c r="L127" s="447">
        <f t="shared" si="12"/>
        <v>0</v>
      </c>
      <c r="M127" s="447">
        <f t="shared" si="12"/>
        <v>0</v>
      </c>
      <c r="N127" s="447">
        <f t="shared" si="12"/>
        <v>0</v>
      </c>
      <c r="O127" s="447">
        <f t="shared" si="12"/>
        <v>0</v>
      </c>
      <c r="P127" s="447">
        <f t="shared" si="12"/>
        <v>0</v>
      </c>
      <c r="Q127" s="447">
        <f t="shared" si="12"/>
        <v>0</v>
      </c>
      <c r="R127" s="447">
        <f t="shared" si="12"/>
        <v>0</v>
      </c>
      <c r="S127" s="447">
        <f t="shared" si="12"/>
        <v>0</v>
      </c>
      <c r="T127" s="447">
        <f t="shared" si="12"/>
        <v>0</v>
      </c>
      <c r="U127" s="447">
        <f t="shared" si="12"/>
        <v>0</v>
      </c>
      <c r="V127" s="447">
        <f t="shared" si="12"/>
        <v>0</v>
      </c>
      <c r="W127" s="447">
        <f t="shared" si="12"/>
        <v>0</v>
      </c>
      <c r="X127" s="447"/>
      <c r="Y127" s="447"/>
      <c r="Z127" s="447">
        <f t="shared" si="12"/>
        <v>-1</v>
      </c>
    </row>
    <row r="128" spans="1:26" ht="15.75" thickBot="1" x14ac:dyDescent="0.3"/>
    <row r="129" spans="1:26" ht="15.75" thickBot="1" x14ac:dyDescent="0.3">
      <c r="A129" s="436" t="s">
        <v>1232</v>
      </c>
      <c r="B129" s="434"/>
      <c r="C129" s="434"/>
      <c r="D129" s="434"/>
      <c r="E129" s="434"/>
      <c r="F129" s="434"/>
      <c r="G129" s="437">
        <f t="shared" ref="G129:W129" si="13">G83+G95+G107+G120+G127</f>
        <v>2</v>
      </c>
      <c r="H129" s="438">
        <f t="shared" si="13"/>
        <v>2105.8999999999978</v>
      </c>
      <c r="I129" s="438">
        <f t="shared" si="13"/>
        <v>12500</v>
      </c>
      <c r="J129" s="438">
        <f t="shared" si="13"/>
        <v>60585.739999999991</v>
      </c>
      <c r="K129" s="450">
        <f t="shared" si="13"/>
        <v>-1</v>
      </c>
      <c r="L129" s="450">
        <f t="shared" si="13"/>
        <v>-1</v>
      </c>
      <c r="M129" s="450">
        <f t="shared" si="13"/>
        <v>-1</v>
      </c>
      <c r="N129" s="450">
        <f t="shared" si="13"/>
        <v>0</v>
      </c>
      <c r="O129" s="450">
        <f t="shared" si="13"/>
        <v>-1</v>
      </c>
      <c r="P129" s="450">
        <f t="shared" si="13"/>
        <v>3</v>
      </c>
      <c r="Q129" s="450">
        <f t="shared" si="13"/>
        <v>3</v>
      </c>
      <c r="R129" s="450">
        <f t="shared" si="13"/>
        <v>0</v>
      </c>
      <c r="S129" s="450">
        <f t="shared" si="13"/>
        <v>-1</v>
      </c>
      <c r="T129" s="450">
        <f t="shared" si="13"/>
        <v>0</v>
      </c>
      <c r="U129" s="450">
        <f t="shared" si="13"/>
        <v>-1</v>
      </c>
      <c r="V129" s="450">
        <f t="shared" si="13"/>
        <v>0</v>
      </c>
      <c r="W129" s="450">
        <f t="shared" si="13"/>
        <v>0</v>
      </c>
      <c r="X129" s="450"/>
      <c r="Y129" s="450"/>
      <c r="Z129" s="450">
        <f>Z83+Z95+Z107+Z120+Z127</f>
        <v>-4</v>
      </c>
    </row>
    <row r="130" spans="1:26" ht="15.75" thickBot="1" x14ac:dyDescent="0.3">
      <c r="A130" s="436" t="s">
        <v>64</v>
      </c>
      <c r="B130" s="434"/>
      <c r="C130" s="434"/>
      <c r="D130" s="434"/>
      <c r="E130" s="434"/>
      <c r="F130" s="434"/>
      <c r="G130" s="437"/>
      <c r="H130" s="438"/>
      <c r="I130" s="438"/>
      <c r="J130" s="438"/>
    </row>
    <row r="131" spans="1:26" ht="15.75" thickBot="1" x14ac:dyDescent="0.3">
      <c r="A131" s="439" t="s">
        <v>452</v>
      </c>
      <c r="B131" s="440"/>
      <c r="C131" s="440"/>
      <c r="D131" s="440"/>
      <c r="E131" s="440"/>
      <c r="F131" s="440"/>
      <c r="G131" s="441"/>
      <c r="H131" s="442">
        <f>H129-H130</f>
        <v>2105.8999999999978</v>
      </c>
      <c r="I131" s="442"/>
      <c r="J131" s="442"/>
    </row>
    <row r="134" spans="1:26" x14ac:dyDescent="0.25">
      <c r="H134" s="435">
        <f>H83+H107+H120+H127</f>
        <v>-4666.1000000000022</v>
      </c>
      <c r="I134" s="435"/>
      <c r="J134" s="435"/>
    </row>
  </sheetData>
  <mergeCells count="8">
    <mergeCell ref="G3:H3"/>
    <mergeCell ref="A85:B85"/>
    <mergeCell ref="A97:B97"/>
    <mergeCell ref="A109:B109"/>
    <mergeCell ref="A122:B122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44"/>
  <sheetViews>
    <sheetView topLeftCell="A31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1362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70" t="s">
        <v>1</v>
      </c>
      <c r="B4" s="57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6.5" customHeight="1" x14ac:dyDescent="0.25">
      <c r="A5" s="713" t="s">
        <v>49</v>
      </c>
      <c r="B5" s="537" t="s">
        <v>61</v>
      </c>
      <c r="C5" s="713">
        <v>2</v>
      </c>
      <c r="D5" s="714">
        <v>2894</v>
      </c>
      <c r="E5" s="535">
        <v>2</v>
      </c>
      <c r="F5" s="542">
        <v>2407</v>
      </c>
      <c r="G5" s="535">
        <f t="shared" ref="G5:H35" si="0">E5-C5</f>
        <v>0</v>
      </c>
      <c r="H5" s="542">
        <f t="shared" si="0"/>
        <v>-487</v>
      </c>
      <c r="I5" s="542"/>
      <c r="J5" s="542">
        <v>963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7" si="1">SUM(K5:Y5)</f>
        <v>0</v>
      </c>
    </row>
    <row r="6" spans="1:26" ht="14.45" customHeight="1" x14ac:dyDescent="0.25">
      <c r="A6" s="716" t="s">
        <v>1463</v>
      </c>
      <c r="B6" s="537" t="s">
        <v>115</v>
      </c>
      <c r="C6" s="713">
        <v>2</v>
      </c>
      <c r="D6" s="714">
        <v>3286</v>
      </c>
      <c r="E6" s="535">
        <v>2</v>
      </c>
      <c r="F6" s="542">
        <v>3386</v>
      </c>
      <c r="G6" s="535">
        <f t="shared" si="0"/>
        <v>0</v>
      </c>
      <c r="H6" s="542">
        <f t="shared" si="0"/>
        <v>100</v>
      </c>
      <c r="I6" s="542"/>
      <c r="J6" s="542">
        <v>1354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713" t="s">
        <v>50</v>
      </c>
      <c r="B7" s="537" t="s">
        <v>115</v>
      </c>
      <c r="C7" s="713">
        <v>5</v>
      </c>
      <c r="D7" s="714">
        <v>6900</v>
      </c>
      <c r="E7" s="535">
        <v>5</v>
      </c>
      <c r="F7" s="542">
        <v>7106</v>
      </c>
      <c r="G7" s="535">
        <f t="shared" si="0"/>
        <v>0</v>
      </c>
      <c r="H7" s="542">
        <f t="shared" si="0"/>
        <v>206</v>
      </c>
      <c r="I7" s="542"/>
      <c r="J7" s="542">
        <v>2842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713" t="s">
        <v>300</v>
      </c>
      <c r="B8" s="716" t="s">
        <v>115</v>
      </c>
      <c r="C8" s="713">
        <v>3</v>
      </c>
      <c r="D8" s="714">
        <v>4929</v>
      </c>
      <c r="E8" s="535">
        <v>3</v>
      </c>
      <c r="F8" s="542">
        <v>5079</v>
      </c>
      <c r="G8" s="535">
        <f t="shared" si="0"/>
        <v>0</v>
      </c>
      <c r="H8" s="542">
        <f t="shared" si="0"/>
        <v>150</v>
      </c>
      <c r="I8" s="542"/>
      <c r="J8" s="542">
        <v>2031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717" t="s">
        <v>325</v>
      </c>
      <c r="B9" s="537" t="s">
        <v>61</v>
      </c>
      <c r="C9" s="713">
        <v>9</v>
      </c>
      <c r="D9" s="714">
        <v>13144</v>
      </c>
      <c r="E9" s="535">
        <v>9</v>
      </c>
      <c r="F9" s="542">
        <v>13544</v>
      </c>
      <c r="G9" s="535">
        <f t="shared" si="0"/>
        <v>0</v>
      </c>
      <c r="H9" s="542">
        <f t="shared" si="0"/>
        <v>400</v>
      </c>
      <c r="I9" s="542"/>
      <c r="J9" s="542">
        <v>5416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716" t="s">
        <v>1192</v>
      </c>
      <c r="B10" s="537" t="s">
        <v>61</v>
      </c>
      <c r="C10" s="713">
        <v>3</v>
      </c>
      <c r="D10" s="714">
        <v>4743</v>
      </c>
      <c r="E10" s="535">
        <v>3</v>
      </c>
      <c r="F10" s="542">
        <v>4793</v>
      </c>
      <c r="G10" s="535">
        <f t="shared" si="0"/>
        <v>0</v>
      </c>
      <c r="H10" s="542">
        <f t="shared" si="0"/>
        <v>50</v>
      </c>
      <c r="I10" s="542"/>
      <c r="J10" s="542">
        <v>677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713" t="s">
        <v>315</v>
      </c>
      <c r="B11" s="537" t="s">
        <v>61</v>
      </c>
      <c r="C11" s="713">
        <v>1</v>
      </c>
      <c r="D11" s="714">
        <v>1643</v>
      </c>
      <c r="E11" s="535">
        <v>1</v>
      </c>
      <c r="F11" s="542">
        <v>1693</v>
      </c>
      <c r="G11" s="535">
        <f t="shared" si="0"/>
        <v>0</v>
      </c>
      <c r="H11" s="542">
        <f t="shared" si="0"/>
        <v>50</v>
      </c>
      <c r="I11" s="542"/>
      <c r="J11" s="542">
        <v>677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713" t="s">
        <v>264</v>
      </c>
      <c r="B12" s="716" t="s">
        <v>115</v>
      </c>
      <c r="C12" s="713">
        <v>5</v>
      </c>
      <c r="D12" s="714">
        <v>3780</v>
      </c>
      <c r="E12" s="535">
        <v>5</v>
      </c>
      <c r="F12" s="542">
        <v>3319</v>
      </c>
      <c r="G12" s="535">
        <f t="shared" si="0"/>
        <v>0</v>
      </c>
      <c r="H12" s="542">
        <f t="shared" si="0"/>
        <v>-461</v>
      </c>
      <c r="I12" s="542"/>
      <c r="J12" s="542">
        <v>1328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716" t="s">
        <v>262</v>
      </c>
      <c r="B13" s="716" t="s">
        <v>115</v>
      </c>
      <c r="C13" s="713">
        <v>7</v>
      </c>
      <c r="D13" s="714">
        <v>9903</v>
      </c>
      <c r="E13" s="535">
        <v>7</v>
      </c>
      <c r="F13" s="542">
        <v>9626</v>
      </c>
      <c r="G13" s="535">
        <f t="shared" si="0"/>
        <v>0</v>
      </c>
      <c r="H13" s="542">
        <f t="shared" si="0"/>
        <v>-277</v>
      </c>
      <c r="I13" s="542"/>
      <c r="J13" s="542">
        <v>3850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716" t="s">
        <v>263</v>
      </c>
      <c r="B14" s="716" t="s">
        <v>115</v>
      </c>
      <c r="C14" s="713">
        <v>6</v>
      </c>
      <c r="D14" s="714">
        <v>7343</v>
      </c>
      <c r="E14" s="535">
        <v>6</v>
      </c>
      <c r="F14" s="542">
        <v>7563</v>
      </c>
      <c r="G14" s="535">
        <f t="shared" si="0"/>
        <v>0</v>
      </c>
      <c r="H14" s="542">
        <f t="shared" si="0"/>
        <v>220</v>
      </c>
      <c r="I14" s="542"/>
      <c r="J14" s="542">
        <v>3025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713" t="s">
        <v>251</v>
      </c>
      <c r="B15" s="716" t="s">
        <v>115</v>
      </c>
      <c r="C15" s="713">
        <v>9</v>
      </c>
      <c r="D15" s="714">
        <v>14787</v>
      </c>
      <c r="E15" s="535">
        <v>9</v>
      </c>
      <c r="F15" s="542">
        <v>15237</v>
      </c>
      <c r="G15" s="535">
        <f t="shared" si="0"/>
        <v>0</v>
      </c>
      <c r="H15" s="542">
        <f t="shared" si="0"/>
        <v>450</v>
      </c>
      <c r="I15" s="542"/>
      <c r="J15" s="542">
        <v>6093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713" t="s">
        <v>95</v>
      </c>
      <c r="B16" s="537" t="s">
        <v>61</v>
      </c>
      <c r="C16" s="713">
        <v>9</v>
      </c>
      <c r="D16" s="714">
        <v>14787</v>
      </c>
      <c r="E16" s="535">
        <v>9</v>
      </c>
      <c r="F16" s="542">
        <v>15237</v>
      </c>
      <c r="G16" s="535">
        <f t="shared" si="0"/>
        <v>0</v>
      </c>
      <c r="H16" s="542">
        <f t="shared" si="0"/>
        <v>450</v>
      </c>
      <c r="I16" s="542"/>
      <c r="J16" s="542">
        <v>6093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713" t="s">
        <v>183</v>
      </c>
      <c r="B17" s="537" t="s">
        <v>61</v>
      </c>
      <c r="C17" s="713">
        <v>5</v>
      </c>
      <c r="D17" s="714">
        <v>8215</v>
      </c>
      <c r="E17" s="535">
        <v>5</v>
      </c>
      <c r="F17" s="542">
        <v>8465</v>
      </c>
      <c r="G17" s="535">
        <f t="shared" si="0"/>
        <v>0</v>
      </c>
      <c r="H17" s="542">
        <f t="shared" si="0"/>
        <v>250</v>
      </c>
      <c r="I17" s="542"/>
      <c r="J17" s="542">
        <v>3385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716" t="s">
        <v>1473</v>
      </c>
      <c r="B18" s="716" t="s">
        <v>115</v>
      </c>
      <c r="C18" s="713">
        <v>4</v>
      </c>
      <c r="D18" s="714">
        <v>6572</v>
      </c>
      <c r="E18" s="535">
        <v>4</v>
      </c>
      <c r="F18" s="542">
        <v>6772</v>
      </c>
      <c r="G18" s="535">
        <f t="shared" si="0"/>
        <v>0</v>
      </c>
      <c r="H18" s="542">
        <f t="shared" si="0"/>
        <v>200</v>
      </c>
      <c r="I18" s="542"/>
      <c r="J18" s="542">
        <v>2708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713" t="s">
        <v>46</v>
      </c>
      <c r="B19" s="716" t="s">
        <v>115</v>
      </c>
      <c r="C19" s="713">
        <v>9</v>
      </c>
      <c r="D19" s="714">
        <v>16987</v>
      </c>
      <c r="E19" s="535">
        <v>9</v>
      </c>
      <c r="F19" s="542">
        <v>17437</v>
      </c>
      <c r="G19" s="535">
        <f t="shared" si="0"/>
        <v>0</v>
      </c>
      <c r="H19" s="542">
        <f t="shared" si="0"/>
        <v>450</v>
      </c>
      <c r="I19" s="542"/>
      <c r="J19" s="542">
        <v>6093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716" t="s">
        <v>1668</v>
      </c>
      <c r="B20" s="716" t="s">
        <v>115</v>
      </c>
      <c r="C20" s="713">
        <v>1</v>
      </c>
      <c r="D20" s="714">
        <v>1643</v>
      </c>
      <c r="E20" s="535">
        <v>1</v>
      </c>
      <c r="F20" s="542">
        <v>1693</v>
      </c>
      <c r="G20" s="535">
        <f t="shared" si="0"/>
        <v>0</v>
      </c>
      <c r="H20" s="542">
        <f t="shared" si="0"/>
        <v>50</v>
      </c>
      <c r="I20" s="542"/>
      <c r="J20" s="542">
        <v>677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713" t="s">
        <v>275</v>
      </c>
      <c r="B21" s="537" t="s">
        <v>61</v>
      </c>
      <c r="C21" s="713">
        <v>7</v>
      </c>
      <c r="D21" s="714">
        <v>10907</v>
      </c>
      <c r="E21" s="535">
        <v>7</v>
      </c>
      <c r="F21" s="542">
        <v>11234</v>
      </c>
      <c r="G21" s="535">
        <f t="shared" si="0"/>
        <v>0</v>
      </c>
      <c r="H21" s="542">
        <f t="shared" si="0"/>
        <v>327</v>
      </c>
      <c r="I21" s="542"/>
      <c r="J21" s="542">
        <v>4000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716" t="s">
        <v>353</v>
      </c>
      <c r="B22" s="716" t="s">
        <v>115</v>
      </c>
      <c r="C22" s="713">
        <v>1</v>
      </c>
      <c r="D22" s="714">
        <v>890</v>
      </c>
      <c r="E22" s="535">
        <v>1</v>
      </c>
      <c r="F22" s="542">
        <v>917</v>
      </c>
      <c r="G22" s="535">
        <f t="shared" si="0"/>
        <v>0</v>
      </c>
      <c r="H22" s="542">
        <f t="shared" si="0"/>
        <v>27</v>
      </c>
      <c r="I22" s="542"/>
      <c r="J22" s="542">
        <v>367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713" t="s">
        <v>56</v>
      </c>
      <c r="B23" s="716" t="s">
        <v>115</v>
      </c>
      <c r="C23" s="713">
        <v>3</v>
      </c>
      <c r="D23" s="714">
        <v>3893</v>
      </c>
      <c r="E23" s="535">
        <v>3</v>
      </c>
      <c r="F23" s="542">
        <v>3436</v>
      </c>
      <c r="G23" s="535">
        <f t="shared" si="0"/>
        <v>0</v>
      </c>
      <c r="H23" s="542">
        <f t="shared" si="0"/>
        <v>-457</v>
      </c>
      <c r="I23" s="542"/>
      <c r="J23" s="542">
        <v>1374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717" t="s">
        <v>1680</v>
      </c>
      <c r="B24" s="716" t="s">
        <v>115</v>
      </c>
      <c r="C24" s="713">
        <v>5</v>
      </c>
      <c r="D24" s="714">
        <v>8215</v>
      </c>
      <c r="E24" s="535">
        <v>5</v>
      </c>
      <c r="F24" s="542">
        <v>8465</v>
      </c>
      <c r="G24" s="535">
        <f t="shared" si="0"/>
        <v>0</v>
      </c>
      <c r="H24" s="542">
        <f t="shared" si="0"/>
        <v>250</v>
      </c>
      <c r="I24" s="542"/>
      <c r="J24" s="542">
        <v>3385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713" t="s">
        <v>1140</v>
      </c>
      <c r="B25" s="716" t="s">
        <v>115</v>
      </c>
      <c r="C25" s="713">
        <v>6</v>
      </c>
      <c r="D25" s="714">
        <v>6677</v>
      </c>
      <c r="E25" s="535">
        <v>6</v>
      </c>
      <c r="F25" s="542">
        <v>5382</v>
      </c>
      <c r="G25" s="535">
        <f t="shared" si="0"/>
        <v>0</v>
      </c>
      <c r="H25" s="542">
        <f t="shared" si="0"/>
        <v>-1295</v>
      </c>
      <c r="I25" s="542"/>
      <c r="J25" s="542">
        <v>2153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713" t="s">
        <v>847</v>
      </c>
      <c r="B26" s="716" t="s">
        <v>115</v>
      </c>
      <c r="C26" s="713">
        <v>6</v>
      </c>
      <c r="D26" s="714">
        <v>8903</v>
      </c>
      <c r="E26" s="535">
        <v>6</v>
      </c>
      <c r="F26" s="542">
        <v>9743</v>
      </c>
      <c r="G26" s="535">
        <f t="shared" si="0"/>
        <v>0</v>
      </c>
      <c r="H26" s="542">
        <f t="shared" si="0"/>
        <v>840</v>
      </c>
      <c r="I26" s="542"/>
      <c r="J26" s="542">
        <v>3897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customHeight="1" x14ac:dyDescent="0.25">
      <c r="A27" s="717" t="s">
        <v>1141</v>
      </c>
      <c r="B27" s="716" t="s">
        <v>115</v>
      </c>
      <c r="C27" s="713">
        <v>6</v>
      </c>
      <c r="D27" s="714">
        <v>3666</v>
      </c>
      <c r="E27" s="535">
        <v>6</v>
      </c>
      <c r="F27" s="542">
        <v>7563</v>
      </c>
      <c r="G27" s="535">
        <f t="shared" si="0"/>
        <v>0</v>
      </c>
      <c r="H27" s="542">
        <f t="shared" si="0"/>
        <v>3897</v>
      </c>
      <c r="I27" s="542"/>
      <c r="J27" s="542">
        <v>3025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customHeight="1" x14ac:dyDescent="0.25">
      <c r="A28" s="713" t="s">
        <v>1669</v>
      </c>
      <c r="B28" s="716" t="s">
        <v>115</v>
      </c>
      <c r="C28" s="713">
        <v>1</v>
      </c>
      <c r="D28" s="714">
        <v>1643</v>
      </c>
      <c r="E28" s="535">
        <v>1</v>
      </c>
      <c r="F28" s="542">
        <v>1693</v>
      </c>
      <c r="G28" s="535">
        <f t="shared" si="0"/>
        <v>0</v>
      </c>
      <c r="H28" s="542">
        <f t="shared" si="0"/>
        <v>50</v>
      </c>
      <c r="I28" s="542"/>
      <c r="J28" s="542">
        <v>677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customHeight="1" x14ac:dyDescent="0.25">
      <c r="A29" s="716" t="s">
        <v>1166</v>
      </c>
      <c r="B29" s="537" t="s">
        <v>115</v>
      </c>
      <c r="C29" s="713">
        <v>12</v>
      </c>
      <c r="D29" s="714">
        <v>19716</v>
      </c>
      <c r="E29" s="535">
        <v>12</v>
      </c>
      <c r="F29" s="542">
        <v>20316</v>
      </c>
      <c r="G29" s="535">
        <f t="shared" si="0"/>
        <v>0</v>
      </c>
      <c r="H29" s="542">
        <f t="shared" si="0"/>
        <v>600</v>
      </c>
      <c r="I29" s="542"/>
      <c r="J29" s="542">
        <v>8124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customHeight="1" x14ac:dyDescent="0.25">
      <c r="A30" s="713" t="s">
        <v>1281</v>
      </c>
      <c r="B30" s="716" t="s">
        <v>115</v>
      </c>
      <c r="C30" s="713">
        <v>8</v>
      </c>
      <c r="D30" s="714">
        <v>13144</v>
      </c>
      <c r="E30" s="535">
        <v>8</v>
      </c>
      <c r="F30" s="542">
        <v>13544</v>
      </c>
      <c r="G30" s="535">
        <f t="shared" si="0"/>
        <v>0</v>
      </c>
      <c r="H30" s="542">
        <f t="shared" si="0"/>
        <v>400</v>
      </c>
      <c r="I30" s="542"/>
      <c r="J30" s="542">
        <v>5416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customHeight="1" x14ac:dyDescent="0.25">
      <c r="A31" s="713" t="s">
        <v>47</v>
      </c>
      <c r="B31" s="716" t="s">
        <v>115</v>
      </c>
      <c r="C31" s="713">
        <v>12</v>
      </c>
      <c r="D31" s="714">
        <v>19716</v>
      </c>
      <c r="E31" s="535">
        <v>12</v>
      </c>
      <c r="F31" s="542">
        <v>20316</v>
      </c>
      <c r="G31" s="535">
        <f t="shared" si="0"/>
        <v>0</v>
      </c>
      <c r="H31" s="542">
        <f t="shared" si="0"/>
        <v>600</v>
      </c>
      <c r="I31" s="542"/>
      <c r="J31" s="542">
        <v>8214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customHeight="1" x14ac:dyDescent="0.25">
      <c r="A32" s="713" t="s">
        <v>1260</v>
      </c>
      <c r="B32" s="716" t="s">
        <v>115</v>
      </c>
      <c r="C32" s="713">
        <v>1</v>
      </c>
      <c r="D32" s="714">
        <v>1643</v>
      </c>
      <c r="E32" s="535">
        <v>1</v>
      </c>
      <c r="F32" s="542">
        <v>1693</v>
      </c>
      <c r="G32" s="535">
        <f t="shared" si="0"/>
        <v>0</v>
      </c>
      <c r="H32" s="542">
        <f t="shared" si="0"/>
        <v>50</v>
      </c>
      <c r="I32" s="542"/>
      <c r="J32" s="542">
        <v>677</v>
      </c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customHeight="1" x14ac:dyDescent="0.25">
      <c r="A33" s="717" t="s">
        <v>349</v>
      </c>
      <c r="B33" s="537" t="s">
        <v>61</v>
      </c>
      <c r="C33" s="713">
        <v>1</v>
      </c>
      <c r="D33" s="714">
        <v>443</v>
      </c>
      <c r="E33" s="535">
        <v>1</v>
      </c>
      <c r="F33" s="542">
        <v>456</v>
      </c>
      <c r="G33" s="535">
        <f t="shared" si="0"/>
        <v>0</v>
      </c>
      <c r="H33" s="542">
        <f t="shared" si="0"/>
        <v>13</v>
      </c>
      <c r="I33" s="542"/>
      <c r="J33" s="542">
        <v>182</v>
      </c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717" t="s">
        <v>1673</v>
      </c>
      <c r="B34" s="716" t="s">
        <v>115</v>
      </c>
      <c r="C34" s="713">
        <v>2</v>
      </c>
      <c r="D34" s="714">
        <v>3286</v>
      </c>
      <c r="E34" s="535">
        <v>2</v>
      </c>
      <c r="F34" s="542">
        <v>3386</v>
      </c>
      <c r="G34" s="535">
        <f t="shared" si="0"/>
        <v>0</v>
      </c>
      <c r="H34" s="542">
        <f t="shared" si="0"/>
        <v>100</v>
      </c>
      <c r="I34" s="542"/>
      <c r="J34" s="542">
        <v>1354</v>
      </c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713" t="s">
        <v>735</v>
      </c>
      <c r="B35" s="716" t="s">
        <v>115</v>
      </c>
      <c r="C35" s="713">
        <v>3</v>
      </c>
      <c r="D35" s="714">
        <v>1776</v>
      </c>
      <c r="E35" s="535">
        <v>3</v>
      </c>
      <c r="F35" s="542">
        <v>3436</v>
      </c>
      <c r="G35" s="535">
        <f t="shared" si="0"/>
        <v>0</v>
      </c>
      <c r="H35" s="542">
        <f t="shared" si="0"/>
        <v>1660</v>
      </c>
      <c r="I35" s="542"/>
      <c r="J35" s="542">
        <v>1374</v>
      </c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customHeight="1" x14ac:dyDescent="0.25">
      <c r="A36" s="716" t="s">
        <v>370</v>
      </c>
      <c r="B36" s="716" t="s">
        <v>115</v>
      </c>
      <c r="C36" s="713">
        <v>3</v>
      </c>
      <c r="D36" s="714">
        <v>3336</v>
      </c>
      <c r="E36" s="535">
        <v>3</v>
      </c>
      <c r="F36" s="542">
        <v>4009</v>
      </c>
      <c r="G36" s="535">
        <f t="shared" ref="G36:H67" si="2">E36-C36</f>
        <v>0</v>
      </c>
      <c r="H36" s="542">
        <f t="shared" si="2"/>
        <v>673</v>
      </c>
      <c r="I36" s="542"/>
      <c r="J36" s="542">
        <v>1603</v>
      </c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customHeight="1" x14ac:dyDescent="0.25">
      <c r="A37" s="716" t="s">
        <v>1686</v>
      </c>
      <c r="B37" s="716" t="s">
        <v>115</v>
      </c>
      <c r="C37" s="713">
        <v>1</v>
      </c>
      <c r="D37" s="714">
        <v>1643</v>
      </c>
      <c r="E37" s="535">
        <v>1</v>
      </c>
      <c r="F37" s="542">
        <v>1693</v>
      </c>
      <c r="G37" s="535">
        <f t="shared" si="2"/>
        <v>0</v>
      </c>
      <c r="H37" s="542">
        <f t="shared" si="2"/>
        <v>50</v>
      </c>
      <c r="I37" s="542"/>
      <c r="J37" s="542">
        <v>677</v>
      </c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customHeight="1" x14ac:dyDescent="0.25">
      <c r="A38" s="713" t="s">
        <v>243</v>
      </c>
      <c r="B38" s="535" t="s">
        <v>61</v>
      </c>
      <c r="C38" s="713">
        <v>10</v>
      </c>
      <c r="D38" s="714">
        <v>11414.7</v>
      </c>
      <c r="E38" s="535">
        <v>10</v>
      </c>
      <c r="F38" s="542">
        <v>13719.599999999999</v>
      </c>
      <c r="G38" s="535">
        <f t="shared" si="2"/>
        <v>0</v>
      </c>
      <c r="H38" s="542">
        <f t="shared" si="2"/>
        <v>2304.8999999999978</v>
      </c>
      <c r="I38" s="542"/>
      <c r="J38" s="542">
        <v>4000</v>
      </c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customHeight="1" x14ac:dyDescent="0.25">
      <c r="A39" s="716" t="s">
        <v>1458</v>
      </c>
      <c r="B39" s="537" t="s">
        <v>61</v>
      </c>
      <c r="C39" s="713">
        <v>1</v>
      </c>
      <c r="D39" s="714">
        <v>2560</v>
      </c>
      <c r="E39" s="535">
        <v>1</v>
      </c>
      <c r="F39" s="542">
        <v>2637</v>
      </c>
      <c r="G39" s="535">
        <f t="shared" si="2"/>
        <v>0</v>
      </c>
      <c r="H39" s="542">
        <f t="shared" si="2"/>
        <v>77</v>
      </c>
      <c r="I39" s="542"/>
      <c r="J39" s="542">
        <v>1055</v>
      </c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customHeight="1" x14ac:dyDescent="0.25">
      <c r="A40" s="733" t="s">
        <v>1689</v>
      </c>
      <c r="B40" s="716" t="s">
        <v>115</v>
      </c>
      <c r="C40" s="713">
        <v>4</v>
      </c>
      <c r="D40" s="714">
        <v>6572</v>
      </c>
      <c r="E40" s="535">
        <v>4</v>
      </c>
      <c r="F40" s="542">
        <f>5079+1693</f>
        <v>6772</v>
      </c>
      <c r="G40" s="535">
        <f t="shared" si="2"/>
        <v>0</v>
      </c>
      <c r="H40" s="542">
        <f t="shared" si="2"/>
        <v>200</v>
      </c>
      <c r="I40" s="542"/>
      <c r="J40" s="542">
        <f>2708-677</f>
        <v>2031</v>
      </c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customHeight="1" x14ac:dyDescent="0.25">
      <c r="A41" s="713" t="s">
        <v>190</v>
      </c>
      <c r="B41" s="537" t="s">
        <v>61</v>
      </c>
      <c r="C41" s="713">
        <v>10</v>
      </c>
      <c r="D41" s="714">
        <v>9653</v>
      </c>
      <c r="E41" s="535">
        <v>10</v>
      </c>
      <c r="F41" s="542">
        <v>9803</v>
      </c>
      <c r="G41" s="535">
        <f t="shared" si="2"/>
        <v>0</v>
      </c>
      <c r="H41" s="542">
        <f t="shared" si="2"/>
        <v>150</v>
      </c>
      <c r="I41" s="542"/>
      <c r="J41" s="542">
        <v>2061</v>
      </c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5" customHeight="1" x14ac:dyDescent="0.25">
      <c r="A42" s="713" t="s">
        <v>188</v>
      </c>
      <c r="B42" s="537" t="s">
        <v>61</v>
      </c>
      <c r="C42" s="713">
        <v>10</v>
      </c>
      <c r="D42" s="714">
        <v>8006.4</v>
      </c>
      <c r="E42" s="535">
        <v>10</v>
      </c>
      <c r="F42" s="542">
        <v>8346.6</v>
      </c>
      <c r="G42" s="535">
        <f t="shared" si="2"/>
        <v>0</v>
      </c>
      <c r="H42" s="542">
        <f t="shared" si="2"/>
        <v>340.20000000000073</v>
      </c>
      <c r="I42" s="542"/>
      <c r="J42" s="542">
        <v>3339</v>
      </c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customHeight="1" x14ac:dyDescent="0.25">
      <c r="A43" s="713" t="s">
        <v>55</v>
      </c>
      <c r="B43" s="716" t="s">
        <v>115</v>
      </c>
      <c r="C43" s="713">
        <v>1</v>
      </c>
      <c r="D43" s="714">
        <v>890</v>
      </c>
      <c r="E43" s="535">
        <v>1</v>
      </c>
      <c r="F43" s="542">
        <v>1490</v>
      </c>
      <c r="G43" s="535">
        <f t="shared" si="2"/>
        <v>0</v>
      </c>
      <c r="H43" s="542">
        <f t="shared" si="2"/>
        <v>600</v>
      </c>
      <c r="I43" s="542"/>
      <c r="J43" s="542">
        <v>596</v>
      </c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customHeight="1" x14ac:dyDescent="0.25">
      <c r="A44" s="716" t="s">
        <v>1460</v>
      </c>
      <c r="B44" s="537" t="s">
        <v>61</v>
      </c>
      <c r="C44" s="713">
        <v>3</v>
      </c>
      <c r="D44" s="714">
        <v>4929</v>
      </c>
      <c r="E44" s="535">
        <v>3</v>
      </c>
      <c r="F44" s="542">
        <v>5079</v>
      </c>
      <c r="G44" s="535">
        <f t="shared" si="2"/>
        <v>0</v>
      </c>
      <c r="H44" s="542">
        <f t="shared" si="2"/>
        <v>150</v>
      </c>
      <c r="I44" s="542"/>
      <c r="J44" s="542">
        <v>2031</v>
      </c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customHeight="1" x14ac:dyDescent="0.25">
      <c r="A45" s="713" t="s">
        <v>231</v>
      </c>
      <c r="B45" s="535" t="s">
        <v>115</v>
      </c>
      <c r="C45" s="713">
        <v>9</v>
      </c>
      <c r="D45" s="714">
        <v>14601</v>
      </c>
      <c r="E45" s="535">
        <v>9</v>
      </c>
      <c r="F45" s="542">
        <v>14951</v>
      </c>
      <c r="G45" s="535">
        <f t="shared" si="2"/>
        <v>0</v>
      </c>
      <c r="H45" s="542">
        <f t="shared" si="2"/>
        <v>350</v>
      </c>
      <c r="I45" s="542"/>
      <c r="J45" s="542">
        <v>4739</v>
      </c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customHeight="1" x14ac:dyDescent="0.25">
      <c r="A46" s="716" t="s">
        <v>1438</v>
      </c>
      <c r="B46" s="537" t="s">
        <v>115</v>
      </c>
      <c r="C46" s="713">
        <v>6</v>
      </c>
      <c r="D46" s="714">
        <v>5226</v>
      </c>
      <c r="E46" s="535">
        <v>6</v>
      </c>
      <c r="F46" s="542">
        <v>6417</v>
      </c>
      <c r="G46" s="535">
        <f t="shared" si="2"/>
        <v>0</v>
      </c>
      <c r="H46" s="542">
        <f t="shared" si="2"/>
        <v>1191</v>
      </c>
      <c r="I46" s="542"/>
      <c r="J46" s="542">
        <v>2567</v>
      </c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customHeight="1" x14ac:dyDescent="0.25">
      <c r="A47" s="716" t="s">
        <v>1439</v>
      </c>
      <c r="B47" s="537" t="s">
        <v>115</v>
      </c>
      <c r="C47" s="713">
        <v>7</v>
      </c>
      <c r="D47" s="714">
        <v>4446</v>
      </c>
      <c r="E47" s="535">
        <v>7</v>
      </c>
      <c r="F47" s="542">
        <v>6648</v>
      </c>
      <c r="G47" s="535">
        <f t="shared" si="2"/>
        <v>0</v>
      </c>
      <c r="H47" s="542">
        <f t="shared" si="2"/>
        <v>2202</v>
      </c>
      <c r="I47" s="542"/>
      <c r="J47" s="542">
        <v>2659</v>
      </c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customHeight="1" x14ac:dyDescent="0.25">
      <c r="A48" s="716" t="s">
        <v>1183</v>
      </c>
      <c r="B48" s="537" t="s">
        <v>61</v>
      </c>
      <c r="C48" s="713">
        <v>1</v>
      </c>
      <c r="D48" s="714">
        <v>1643</v>
      </c>
      <c r="E48" s="535">
        <v>1</v>
      </c>
      <c r="F48" s="542">
        <v>1693</v>
      </c>
      <c r="G48" s="535">
        <f t="shared" si="2"/>
        <v>0</v>
      </c>
      <c r="H48" s="542">
        <f t="shared" si="2"/>
        <v>50</v>
      </c>
      <c r="I48" s="542"/>
      <c r="J48" s="542">
        <v>677</v>
      </c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customHeight="1" x14ac:dyDescent="0.25">
      <c r="A49" s="716" t="s">
        <v>1555</v>
      </c>
      <c r="B49" s="716" t="s">
        <v>115</v>
      </c>
      <c r="C49" s="713">
        <v>1</v>
      </c>
      <c r="D49" s="714">
        <v>890</v>
      </c>
      <c r="E49" s="535">
        <v>1</v>
      </c>
      <c r="F49" s="542">
        <v>917</v>
      </c>
      <c r="G49" s="535">
        <f t="shared" si="2"/>
        <v>0</v>
      </c>
      <c r="H49" s="542">
        <f t="shared" si="2"/>
        <v>27</v>
      </c>
      <c r="I49" s="542"/>
      <c r="J49" s="542">
        <v>367</v>
      </c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customHeight="1" x14ac:dyDescent="0.25">
      <c r="A50" s="716" t="s">
        <v>1160</v>
      </c>
      <c r="B50" s="537" t="s">
        <v>115</v>
      </c>
      <c r="C50" s="713">
        <v>1</v>
      </c>
      <c r="D50" s="714">
        <v>1643</v>
      </c>
      <c r="E50" s="530">
        <v>1</v>
      </c>
      <c r="F50" s="542">
        <v>1693</v>
      </c>
      <c r="G50" s="535">
        <f t="shared" si="2"/>
        <v>0</v>
      </c>
      <c r="H50" s="542">
        <f t="shared" si="2"/>
        <v>50</v>
      </c>
      <c r="I50" s="542"/>
      <c r="J50" s="542">
        <v>677</v>
      </c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customHeight="1" x14ac:dyDescent="0.25">
      <c r="A51" s="716" t="s">
        <v>54</v>
      </c>
      <c r="B51" s="716" t="s">
        <v>115</v>
      </c>
      <c r="C51" s="713">
        <v>4</v>
      </c>
      <c r="D51" s="714">
        <v>9127</v>
      </c>
      <c r="E51" s="530">
        <v>4</v>
      </c>
      <c r="F51" s="542">
        <v>8828</v>
      </c>
      <c r="G51" s="535">
        <f t="shared" si="2"/>
        <v>0</v>
      </c>
      <c r="H51" s="542">
        <f t="shared" si="2"/>
        <v>-299</v>
      </c>
      <c r="I51" s="542"/>
      <c r="J51" s="542">
        <v>3531</v>
      </c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customHeight="1" x14ac:dyDescent="0.25">
      <c r="A52" s="716" t="s">
        <v>285</v>
      </c>
      <c r="B52" s="716" t="s">
        <v>115</v>
      </c>
      <c r="C52" s="713">
        <v>9</v>
      </c>
      <c r="D52" s="714">
        <v>13143.5</v>
      </c>
      <c r="E52" s="530">
        <v>9</v>
      </c>
      <c r="F52" s="542">
        <v>15237</v>
      </c>
      <c r="G52" s="535">
        <f t="shared" si="2"/>
        <v>0</v>
      </c>
      <c r="H52" s="542">
        <f t="shared" si="2"/>
        <v>2093.5</v>
      </c>
      <c r="I52" s="542"/>
      <c r="J52" s="542">
        <v>6093</v>
      </c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customHeight="1" x14ac:dyDescent="0.25">
      <c r="A53" s="716" t="s">
        <v>1143</v>
      </c>
      <c r="B53" s="537" t="s">
        <v>61</v>
      </c>
      <c r="C53" s="713">
        <v>8</v>
      </c>
      <c r="D53" s="714">
        <v>13144</v>
      </c>
      <c r="E53" s="530">
        <v>8</v>
      </c>
      <c r="F53" s="542">
        <v>13544</v>
      </c>
      <c r="G53" s="535">
        <f t="shared" si="2"/>
        <v>0</v>
      </c>
      <c r="H53" s="542">
        <f t="shared" si="2"/>
        <v>400</v>
      </c>
      <c r="I53" s="542"/>
      <c r="J53" s="542">
        <v>5416</v>
      </c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customHeight="1" x14ac:dyDescent="0.25">
      <c r="A54" s="716" t="s">
        <v>228</v>
      </c>
      <c r="B54" s="716" t="s">
        <v>115</v>
      </c>
      <c r="C54" s="713">
        <v>5</v>
      </c>
      <c r="D54" s="714">
        <v>4669</v>
      </c>
      <c r="E54" s="530">
        <v>5</v>
      </c>
      <c r="F54" s="542">
        <v>3775</v>
      </c>
      <c r="G54" s="535">
        <f t="shared" si="2"/>
        <v>0</v>
      </c>
      <c r="H54" s="542">
        <f t="shared" si="2"/>
        <v>-894</v>
      </c>
      <c r="I54" s="542"/>
      <c r="J54" s="542">
        <v>1510</v>
      </c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customHeight="1" x14ac:dyDescent="0.25">
      <c r="A55" s="713" t="s">
        <v>276</v>
      </c>
      <c r="B55" s="537" t="s">
        <v>61</v>
      </c>
      <c r="C55" s="713">
        <v>8</v>
      </c>
      <c r="D55" s="714">
        <v>15240</v>
      </c>
      <c r="E55" s="530">
        <v>8</v>
      </c>
      <c r="F55" s="542">
        <v>14043</v>
      </c>
      <c r="G55" s="535">
        <f t="shared" si="2"/>
        <v>0</v>
      </c>
      <c r="H55" s="542">
        <f t="shared" si="2"/>
        <v>-1197</v>
      </c>
      <c r="I55" s="542"/>
      <c r="J55" s="542">
        <v>4000</v>
      </c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customHeight="1" x14ac:dyDescent="0.25">
      <c r="A56" s="713" t="s">
        <v>1177</v>
      </c>
      <c r="B56" s="537" t="s">
        <v>61</v>
      </c>
      <c r="C56" s="713">
        <v>1</v>
      </c>
      <c r="D56" s="714">
        <v>2560</v>
      </c>
      <c r="E56" s="530">
        <v>1</v>
      </c>
      <c r="F56" s="542">
        <v>2637</v>
      </c>
      <c r="G56" s="535">
        <f t="shared" si="2"/>
        <v>0</v>
      </c>
      <c r="H56" s="542">
        <f t="shared" si="2"/>
        <v>77</v>
      </c>
      <c r="I56" s="542"/>
      <c r="J56" s="542">
        <v>1055</v>
      </c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customHeight="1" x14ac:dyDescent="0.25">
      <c r="A57" s="713" t="s">
        <v>277</v>
      </c>
      <c r="B57" s="537" t="s">
        <v>61</v>
      </c>
      <c r="C57" s="713">
        <v>7</v>
      </c>
      <c r="D57" s="714">
        <v>12020</v>
      </c>
      <c r="E57" s="531">
        <v>7</v>
      </c>
      <c r="F57" s="542">
        <v>11234</v>
      </c>
      <c r="G57" s="535">
        <f t="shared" si="2"/>
        <v>0</v>
      </c>
      <c r="H57" s="542">
        <f t="shared" si="2"/>
        <v>-786</v>
      </c>
      <c r="I57" s="542"/>
      <c r="J57" s="542">
        <v>4000</v>
      </c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customHeight="1" x14ac:dyDescent="0.25">
      <c r="A58" s="716" t="s">
        <v>293</v>
      </c>
      <c r="B58" s="716" t="s">
        <v>115</v>
      </c>
      <c r="C58" s="713">
        <v>11</v>
      </c>
      <c r="D58" s="714">
        <v>15362.049999999996</v>
      </c>
      <c r="E58" s="531">
        <v>11</v>
      </c>
      <c r="F58" s="542">
        <v>15829.549999999996</v>
      </c>
      <c r="G58" s="535">
        <f t="shared" si="2"/>
        <v>0</v>
      </c>
      <c r="H58" s="542">
        <f t="shared" si="2"/>
        <v>467.5</v>
      </c>
      <c r="I58" s="542"/>
      <c r="J58" s="542">
        <v>6332</v>
      </c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customHeight="1" x14ac:dyDescent="0.25">
      <c r="A59" s="716" t="s">
        <v>295</v>
      </c>
      <c r="B59" s="716" t="s">
        <v>115</v>
      </c>
      <c r="C59" s="713">
        <v>11</v>
      </c>
      <c r="D59" s="714">
        <v>17562.049999999996</v>
      </c>
      <c r="E59" s="531">
        <v>11</v>
      </c>
      <c r="F59" s="542">
        <v>18029.549999999996</v>
      </c>
      <c r="G59" s="535">
        <f t="shared" si="2"/>
        <v>0</v>
      </c>
      <c r="H59" s="542">
        <f t="shared" si="2"/>
        <v>467.5</v>
      </c>
      <c r="I59" s="542"/>
      <c r="J59" s="542">
        <v>6332</v>
      </c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customHeight="1" x14ac:dyDescent="0.25">
      <c r="A60" s="716" t="s">
        <v>294</v>
      </c>
      <c r="B60" s="716" t="s">
        <v>115</v>
      </c>
      <c r="C60" s="713">
        <v>11</v>
      </c>
      <c r="D60" s="714">
        <v>15362.049999999996</v>
      </c>
      <c r="E60" s="535">
        <v>11</v>
      </c>
      <c r="F60" s="542">
        <v>15829.549999999996</v>
      </c>
      <c r="G60" s="535">
        <f t="shared" si="2"/>
        <v>0</v>
      </c>
      <c r="H60" s="542">
        <f t="shared" si="2"/>
        <v>467.5</v>
      </c>
      <c r="I60" s="542"/>
      <c r="J60" s="542">
        <v>6332</v>
      </c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customHeight="1" x14ac:dyDescent="0.25">
      <c r="A61" s="717" t="s">
        <v>1677</v>
      </c>
      <c r="B61" s="537" t="s">
        <v>61</v>
      </c>
      <c r="C61" s="713">
        <v>1</v>
      </c>
      <c r="D61" s="714">
        <v>1643</v>
      </c>
      <c r="E61" s="535">
        <v>1</v>
      </c>
      <c r="F61" s="542">
        <v>1693</v>
      </c>
      <c r="G61" s="535">
        <f t="shared" si="2"/>
        <v>0</v>
      </c>
      <c r="H61" s="542">
        <f t="shared" si="2"/>
        <v>50</v>
      </c>
      <c r="I61" s="542"/>
      <c r="J61" s="542">
        <v>677</v>
      </c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customHeight="1" x14ac:dyDescent="0.25">
      <c r="A62" s="716" t="s">
        <v>317</v>
      </c>
      <c r="B62" s="537" t="s">
        <v>61</v>
      </c>
      <c r="C62" s="713">
        <v>4</v>
      </c>
      <c r="D62" s="714">
        <v>7566</v>
      </c>
      <c r="E62" s="535">
        <v>4</v>
      </c>
      <c r="F62" s="542">
        <v>7793</v>
      </c>
      <c r="G62" s="535">
        <f t="shared" si="2"/>
        <v>0</v>
      </c>
      <c r="H62" s="542">
        <f t="shared" si="2"/>
        <v>227</v>
      </c>
      <c r="I62" s="542"/>
      <c r="J62" s="542">
        <v>3117</v>
      </c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customHeight="1" x14ac:dyDescent="0.25">
      <c r="A63" s="716" t="s">
        <v>316</v>
      </c>
      <c r="B63" s="537" t="s">
        <v>61</v>
      </c>
      <c r="C63" s="713">
        <v>6</v>
      </c>
      <c r="D63" s="714">
        <v>8346</v>
      </c>
      <c r="E63" s="535">
        <v>6</v>
      </c>
      <c r="F63" s="542">
        <v>9744</v>
      </c>
      <c r="G63" s="535">
        <f t="shared" si="2"/>
        <v>0</v>
      </c>
      <c r="H63" s="542">
        <f t="shared" si="2"/>
        <v>1398</v>
      </c>
      <c r="I63" s="542"/>
      <c r="J63" s="542">
        <v>3898</v>
      </c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customHeight="1" x14ac:dyDescent="0.25">
      <c r="A64" s="716" t="s">
        <v>371</v>
      </c>
      <c r="B64" s="537" t="s">
        <v>61</v>
      </c>
      <c r="C64" s="713">
        <v>9</v>
      </c>
      <c r="D64" s="714">
        <v>12920.4</v>
      </c>
      <c r="E64" s="535">
        <v>9</v>
      </c>
      <c r="F64" s="542">
        <v>12378.599999999999</v>
      </c>
      <c r="G64" s="535">
        <f t="shared" si="2"/>
        <v>0</v>
      </c>
      <c r="H64" s="542">
        <f t="shared" si="2"/>
        <v>-541.80000000000109</v>
      </c>
      <c r="I64" s="542"/>
      <c r="J64" s="542">
        <v>4000</v>
      </c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customHeight="1" x14ac:dyDescent="0.25">
      <c r="A65" s="713" t="s">
        <v>1676</v>
      </c>
      <c r="B65" s="716" t="s">
        <v>115</v>
      </c>
      <c r="C65" s="713">
        <v>2</v>
      </c>
      <c r="D65" s="714">
        <v>3286</v>
      </c>
      <c r="E65" s="535">
        <v>2</v>
      </c>
      <c r="F65" s="542">
        <v>3386</v>
      </c>
      <c r="G65" s="535">
        <f t="shared" si="2"/>
        <v>0</v>
      </c>
      <c r="H65" s="542">
        <f t="shared" si="2"/>
        <v>100</v>
      </c>
      <c r="I65" s="542"/>
      <c r="J65" s="542">
        <v>1354</v>
      </c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customHeight="1" x14ac:dyDescent="0.25">
      <c r="A66" s="537" t="s">
        <v>869</v>
      </c>
      <c r="B66" s="537" t="s">
        <v>115</v>
      </c>
      <c r="C66" s="713">
        <v>9</v>
      </c>
      <c r="D66" s="714">
        <v>11830.400000000001</v>
      </c>
      <c r="E66" s="535">
        <v>9</v>
      </c>
      <c r="F66" s="542">
        <v>15237</v>
      </c>
      <c r="G66" s="535">
        <f t="shared" si="2"/>
        <v>0</v>
      </c>
      <c r="H66" s="542">
        <f t="shared" si="2"/>
        <v>3406.5999999999985</v>
      </c>
      <c r="I66" s="542"/>
      <c r="J66" s="542">
        <v>1354</v>
      </c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customHeight="1" x14ac:dyDescent="0.25">
      <c r="A67" s="716" t="s">
        <v>1597</v>
      </c>
      <c r="B67" s="716" t="s">
        <v>115</v>
      </c>
      <c r="C67" s="713">
        <v>2</v>
      </c>
      <c r="D67" s="714">
        <v>3286</v>
      </c>
      <c r="E67" s="535">
        <v>2</v>
      </c>
      <c r="F67" s="542">
        <v>3386</v>
      </c>
      <c r="G67" s="535">
        <f t="shared" si="2"/>
        <v>0</v>
      </c>
      <c r="H67" s="542">
        <f t="shared" si="2"/>
        <v>100</v>
      </c>
      <c r="I67" s="542"/>
      <c r="J67" s="542">
        <v>1354</v>
      </c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customHeight="1" x14ac:dyDescent="0.25">
      <c r="A68" s="716" t="s">
        <v>1598</v>
      </c>
      <c r="B68" s="716" t="s">
        <v>115</v>
      </c>
      <c r="C68" s="713">
        <v>2</v>
      </c>
      <c r="D68" s="714">
        <v>3286</v>
      </c>
      <c r="E68" s="535">
        <v>2</v>
      </c>
      <c r="F68" s="542">
        <v>3386</v>
      </c>
      <c r="G68" s="535">
        <f t="shared" ref="G68:H76" si="3">E68-C68</f>
        <v>0</v>
      </c>
      <c r="H68" s="542">
        <f t="shared" si="3"/>
        <v>100</v>
      </c>
      <c r="I68" s="542"/>
      <c r="J68" s="542">
        <v>1354</v>
      </c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ref="Z68:Z76" si="4">SUM(K68:Y68)</f>
        <v>0</v>
      </c>
    </row>
    <row r="69" spans="1:26" ht="15" customHeight="1" x14ac:dyDescent="0.25">
      <c r="A69" s="716" t="s">
        <v>1596</v>
      </c>
      <c r="B69" s="716" t="s">
        <v>115</v>
      </c>
      <c r="C69" s="713">
        <v>3</v>
      </c>
      <c r="D69" s="714">
        <v>7129</v>
      </c>
      <c r="E69" s="535">
        <v>3</v>
      </c>
      <c r="F69" s="542">
        <v>7279</v>
      </c>
      <c r="G69" s="535">
        <f t="shared" si="3"/>
        <v>0</v>
      </c>
      <c r="H69" s="542">
        <f t="shared" si="3"/>
        <v>150</v>
      </c>
      <c r="I69" s="542"/>
      <c r="J69" s="542">
        <v>2031</v>
      </c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4"/>
        <v>0</v>
      </c>
    </row>
    <row r="70" spans="1:26" ht="15" customHeight="1" x14ac:dyDescent="0.25">
      <c r="A70" s="716" t="s">
        <v>223</v>
      </c>
      <c r="B70" s="716" t="s">
        <v>115</v>
      </c>
      <c r="C70" s="713">
        <v>2</v>
      </c>
      <c r="D70" s="714">
        <v>1333</v>
      </c>
      <c r="E70" s="535">
        <v>2</v>
      </c>
      <c r="F70" s="542">
        <v>2980</v>
      </c>
      <c r="G70" s="535">
        <f t="shared" si="3"/>
        <v>0</v>
      </c>
      <c r="H70" s="542">
        <f t="shared" si="3"/>
        <v>1647</v>
      </c>
      <c r="I70" s="542"/>
      <c r="J70" s="542">
        <v>1192</v>
      </c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customHeight="1" x14ac:dyDescent="0.25">
      <c r="A71" s="716" t="s">
        <v>348</v>
      </c>
      <c r="B71" s="716" t="s">
        <v>115</v>
      </c>
      <c r="C71" s="713">
        <v>1</v>
      </c>
      <c r="D71" s="714">
        <v>2003</v>
      </c>
      <c r="E71" s="535">
        <v>1</v>
      </c>
      <c r="F71" s="542">
        <v>2637</v>
      </c>
      <c r="G71" s="535">
        <f t="shared" si="3"/>
        <v>0</v>
      </c>
      <c r="H71" s="542">
        <f t="shared" si="3"/>
        <v>634</v>
      </c>
      <c r="I71" s="542"/>
      <c r="J71" s="542">
        <v>1055</v>
      </c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customHeight="1" x14ac:dyDescent="0.25">
      <c r="A72" s="717" t="s">
        <v>1457</v>
      </c>
      <c r="B72" s="713" t="s">
        <v>115</v>
      </c>
      <c r="C72" s="713">
        <v>10</v>
      </c>
      <c r="D72" s="714">
        <v>14419.8</v>
      </c>
      <c r="E72" s="535">
        <v>10</v>
      </c>
      <c r="F72" s="542">
        <v>15266.699999999997</v>
      </c>
      <c r="G72" s="535">
        <f t="shared" si="3"/>
        <v>0</v>
      </c>
      <c r="H72" s="542">
        <f t="shared" si="3"/>
        <v>846.89999999999782</v>
      </c>
      <c r="I72" s="542"/>
      <c r="J72" s="542">
        <v>4000</v>
      </c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customHeight="1" x14ac:dyDescent="0.25">
      <c r="A73" s="716" t="s">
        <v>1144</v>
      </c>
      <c r="B73" s="716" t="s">
        <v>115</v>
      </c>
      <c r="C73" s="713">
        <v>6</v>
      </c>
      <c r="D73" s="714">
        <v>9858</v>
      </c>
      <c r="E73" s="535">
        <v>6</v>
      </c>
      <c r="F73" s="542">
        <v>10158</v>
      </c>
      <c r="G73" s="535">
        <f t="shared" si="3"/>
        <v>0</v>
      </c>
      <c r="H73" s="542">
        <f t="shared" si="3"/>
        <v>300</v>
      </c>
      <c r="I73" s="542"/>
      <c r="J73" s="542">
        <v>4062</v>
      </c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customHeight="1" x14ac:dyDescent="0.25">
      <c r="A74" s="716" t="s">
        <v>692</v>
      </c>
      <c r="B74" s="537" t="s">
        <v>115</v>
      </c>
      <c r="C74" s="713">
        <v>3</v>
      </c>
      <c r="D74" s="714">
        <v>7129</v>
      </c>
      <c r="E74" s="535">
        <v>3</v>
      </c>
      <c r="F74" s="542">
        <v>7279</v>
      </c>
      <c r="G74" s="535">
        <f t="shared" si="3"/>
        <v>0</v>
      </c>
      <c r="H74" s="542">
        <f t="shared" si="3"/>
        <v>150</v>
      </c>
      <c r="I74" s="542"/>
      <c r="J74" s="542">
        <v>2031</v>
      </c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customHeight="1" x14ac:dyDescent="0.25">
      <c r="A75" s="716" t="s">
        <v>44</v>
      </c>
      <c r="B75" s="537" t="s">
        <v>61</v>
      </c>
      <c r="C75" s="713">
        <v>9</v>
      </c>
      <c r="D75" s="714">
        <v>9209.6999999999989</v>
      </c>
      <c r="E75" s="535">
        <v>9</v>
      </c>
      <c r="F75" s="542">
        <v>3648</v>
      </c>
      <c r="G75" s="535">
        <f t="shared" si="3"/>
        <v>0</v>
      </c>
      <c r="H75" s="542">
        <f t="shared" si="3"/>
        <v>-5561.6999999999989</v>
      </c>
      <c r="I75" s="542"/>
      <c r="J75" s="542">
        <v>1459</v>
      </c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customHeight="1" x14ac:dyDescent="0.25">
      <c r="A76" s="716" t="s">
        <v>1174</v>
      </c>
      <c r="B76" s="537" t="s">
        <v>61</v>
      </c>
      <c r="C76" s="713">
        <v>6</v>
      </c>
      <c r="D76" s="714">
        <v>9858</v>
      </c>
      <c r="E76" s="535">
        <v>6</v>
      </c>
      <c r="F76" s="542">
        <v>10158</v>
      </c>
      <c r="G76" s="535">
        <f t="shared" si="3"/>
        <v>0</v>
      </c>
      <c r="H76" s="542">
        <f t="shared" si="3"/>
        <v>300</v>
      </c>
      <c r="I76" s="542"/>
      <c r="J76" s="542">
        <v>4062</v>
      </c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customHeight="1" x14ac:dyDescent="0.25">
      <c r="A77" s="716" t="s">
        <v>178</v>
      </c>
      <c r="B77" s="716" t="s">
        <v>115</v>
      </c>
      <c r="C77" s="713">
        <v>5</v>
      </c>
      <c r="D77" s="714">
        <v>8215</v>
      </c>
      <c r="E77" s="535">
        <v>5</v>
      </c>
      <c r="F77" s="542">
        <v>8465</v>
      </c>
      <c r="G77" s="535">
        <f t="shared" ref="G77:G86" si="5">E77-C77</f>
        <v>0</v>
      </c>
      <c r="H77" s="542">
        <f t="shared" ref="H77:H86" si="6">F77-D77</f>
        <v>250</v>
      </c>
      <c r="I77" s="542"/>
      <c r="J77" s="542">
        <v>3385</v>
      </c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</row>
    <row r="78" spans="1:26" ht="15" customHeight="1" x14ac:dyDescent="0.25">
      <c r="A78" s="718" t="s">
        <v>288</v>
      </c>
      <c r="B78" s="716" t="s">
        <v>115</v>
      </c>
      <c r="C78" s="713">
        <v>12</v>
      </c>
      <c r="D78" s="714">
        <v>21916</v>
      </c>
      <c r="E78" s="535">
        <v>12</v>
      </c>
      <c r="F78" s="542">
        <v>22516</v>
      </c>
      <c r="G78" s="535">
        <f t="shared" si="5"/>
        <v>0</v>
      </c>
      <c r="H78" s="542">
        <f t="shared" si="6"/>
        <v>600</v>
      </c>
      <c r="I78" s="542"/>
      <c r="J78" s="542">
        <v>8124</v>
      </c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/>
    </row>
    <row r="79" spans="1:26" ht="15" customHeight="1" x14ac:dyDescent="0.25">
      <c r="A79" s="719" t="s">
        <v>308</v>
      </c>
      <c r="B79" s="716" t="s">
        <v>115</v>
      </c>
      <c r="C79" s="713">
        <v>10</v>
      </c>
      <c r="D79" s="714">
        <v>17228.7</v>
      </c>
      <c r="E79" s="535">
        <v>10</v>
      </c>
      <c r="F79" s="542">
        <v>19295.099999999999</v>
      </c>
      <c r="G79" s="535">
        <f t="shared" si="5"/>
        <v>0</v>
      </c>
      <c r="H79" s="542">
        <f t="shared" si="6"/>
        <v>2066.3999999999978</v>
      </c>
      <c r="I79" s="542"/>
      <c r="J79" s="542">
        <v>4000</v>
      </c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</row>
    <row r="80" spans="1:26" ht="15" customHeight="1" x14ac:dyDescent="0.25">
      <c r="A80" s="713" t="s">
        <v>338</v>
      </c>
      <c r="B80" s="713" t="s">
        <v>115</v>
      </c>
      <c r="C80" s="713">
        <v>12</v>
      </c>
      <c r="D80" s="714">
        <v>19437</v>
      </c>
      <c r="E80" s="535">
        <v>12</v>
      </c>
      <c r="F80" s="542">
        <v>19887</v>
      </c>
      <c r="G80" s="535">
        <f t="shared" si="5"/>
        <v>0</v>
      </c>
      <c r="H80" s="542">
        <f t="shared" si="6"/>
        <v>450</v>
      </c>
      <c r="I80" s="542"/>
      <c r="J80" s="542">
        <v>6093</v>
      </c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/>
    </row>
    <row r="81" spans="1:26" ht="15" customHeight="1" x14ac:dyDescent="0.25">
      <c r="A81" s="719" t="s">
        <v>1157</v>
      </c>
      <c r="B81" s="537" t="s">
        <v>61</v>
      </c>
      <c r="C81" s="713">
        <v>2</v>
      </c>
      <c r="D81" s="714">
        <v>3286</v>
      </c>
      <c r="E81" s="535">
        <v>2</v>
      </c>
      <c r="F81" s="542">
        <v>3386</v>
      </c>
      <c r="G81" s="535">
        <f t="shared" si="5"/>
        <v>0</v>
      </c>
      <c r="H81" s="542">
        <f t="shared" si="6"/>
        <v>100</v>
      </c>
      <c r="I81" s="542"/>
      <c r="J81" s="542">
        <v>1354</v>
      </c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/>
    </row>
    <row r="82" spans="1:26" ht="15" customHeight="1" x14ac:dyDescent="0.25">
      <c r="A82" s="716" t="s">
        <v>1156</v>
      </c>
      <c r="B82" s="537" t="s">
        <v>61</v>
      </c>
      <c r="C82" s="713">
        <v>1</v>
      </c>
      <c r="D82" s="714">
        <v>1643</v>
      </c>
      <c r="E82" s="535">
        <v>1</v>
      </c>
      <c r="F82" s="542">
        <v>1693</v>
      </c>
      <c r="G82" s="535">
        <f t="shared" si="5"/>
        <v>0</v>
      </c>
      <c r="H82" s="542">
        <f t="shared" si="6"/>
        <v>50</v>
      </c>
      <c r="I82" s="542"/>
      <c r="J82" s="542">
        <v>677</v>
      </c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</row>
    <row r="83" spans="1:26" ht="15" customHeight="1" x14ac:dyDescent="0.25">
      <c r="A83" s="716" t="s">
        <v>1158</v>
      </c>
      <c r="B83" s="537" t="s">
        <v>61</v>
      </c>
      <c r="C83" s="713">
        <v>1</v>
      </c>
      <c r="D83" s="714">
        <v>1643</v>
      </c>
      <c r="E83" s="535">
        <v>1</v>
      </c>
      <c r="F83" s="542">
        <v>1693</v>
      </c>
      <c r="G83" s="535">
        <f t="shared" si="5"/>
        <v>0</v>
      </c>
      <c r="H83" s="542">
        <f t="shared" si="6"/>
        <v>50</v>
      </c>
      <c r="I83" s="542"/>
      <c r="J83" s="542">
        <v>677</v>
      </c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/>
    </row>
    <row r="84" spans="1:26" ht="15" customHeight="1" x14ac:dyDescent="0.25">
      <c r="A84" s="717" t="s">
        <v>1683</v>
      </c>
      <c r="B84" s="537" t="s">
        <v>61</v>
      </c>
      <c r="C84" s="713">
        <v>2</v>
      </c>
      <c r="D84" s="714">
        <v>3286</v>
      </c>
      <c r="E84" s="535">
        <v>2</v>
      </c>
      <c r="F84" s="542">
        <v>3386</v>
      </c>
      <c r="G84" s="535">
        <f t="shared" si="5"/>
        <v>0</v>
      </c>
      <c r="H84" s="542">
        <f t="shared" si="6"/>
        <v>100</v>
      </c>
      <c r="I84" s="542"/>
      <c r="J84" s="542">
        <v>1354</v>
      </c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5"/>
    </row>
    <row r="85" spans="1:26" ht="15" customHeight="1" x14ac:dyDescent="0.25">
      <c r="A85" s="716" t="s">
        <v>287</v>
      </c>
      <c r="B85" s="716" t="s">
        <v>115</v>
      </c>
      <c r="C85" s="713">
        <v>2</v>
      </c>
      <c r="D85" s="714">
        <v>3286</v>
      </c>
      <c r="E85" s="535">
        <v>2</v>
      </c>
      <c r="F85" s="542">
        <v>3386</v>
      </c>
      <c r="G85" s="535">
        <f t="shared" si="5"/>
        <v>0</v>
      </c>
      <c r="H85" s="542">
        <f t="shared" si="6"/>
        <v>100</v>
      </c>
      <c r="I85" s="542"/>
      <c r="J85" s="542">
        <v>1354</v>
      </c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5"/>
    </row>
    <row r="86" spans="1:26" ht="15" customHeight="1" x14ac:dyDescent="0.25">
      <c r="A86" s="716" t="s">
        <v>45</v>
      </c>
      <c r="B86" s="716" t="s">
        <v>115</v>
      </c>
      <c r="C86" s="713">
        <v>10</v>
      </c>
      <c r="D86" s="714">
        <v>14920.2</v>
      </c>
      <c r="E86" s="535">
        <v>10</v>
      </c>
      <c r="F86" s="542">
        <v>16400.7</v>
      </c>
      <c r="G86" s="535">
        <f t="shared" si="5"/>
        <v>0</v>
      </c>
      <c r="H86" s="542">
        <f t="shared" si="6"/>
        <v>1480.5</v>
      </c>
      <c r="I86" s="542"/>
      <c r="J86" s="542">
        <v>4000</v>
      </c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</row>
    <row r="87" spans="1:26" ht="15" customHeight="1" x14ac:dyDescent="0.25">
      <c r="A87" s="533"/>
      <c r="B87" s="530"/>
      <c r="C87" s="531"/>
      <c r="D87" s="542"/>
      <c r="E87" s="535"/>
      <c r="F87" s="542"/>
      <c r="G87" s="535"/>
      <c r="H87" s="542"/>
      <c r="I87" s="542"/>
      <c r="J87" s="542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5"/>
    </row>
    <row r="88" spans="1:26" ht="15" customHeight="1" x14ac:dyDescent="0.25">
      <c r="A88" s="443" t="s">
        <v>1221</v>
      </c>
      <c r="B88" s="444"/>
      <c r="C88" s="447">
        <f t="shared" ref="C88:Z88" si="7">SUM(C5:C87)</f>
        <v>429</v>
      </c>
      <c r="D88" s="466">
        <f t="shared" si="7"/>
        <v>629680.94999999995</v>
      </c>
      <c r="E88" s="447">
        <f t="shared" si="7"/>
        <v>429</v>
      </c>
      <c r="F88" s="466">
        <f t="shared" si="7"/>
        <v>656308.94999999984</v>
      </c>
      <c r="G88" s="447">
        <f t="shared" si="7"/>
        <v>0</v>
      </c>
      <c r="H88" s="466">
        <f t="shared" si="7"/>
        <v>26627.999999999989</v>
      </c>
      <c r="I88" s="448">
        <f t="shared" si="7"/>
        <v>0</v>
      </c>
      <c r="J88" s="447">
        <f t="shared" si="7"/>
        <v>233129</v>
      </c>
      <c r="K88" s="448">
        <f t="shared" si="7"/>
        <v>0</v>
      </c>
      <c r="L88" s="447">
        <f t="shared" si="7"/>
        <v>0</v>
      </c>
      <c r="M88" s="447">
        <f t="shared" si="7"/>
        <v>0</v>
      </c>
      <c r="N88" s="447">
        <f t="shared" si="7"/>
        <v>0</v>
      </c>
      <c r="O88" s="447">
        <f t="shared" si="7"/>
        <v>0</v>
      </c>
      <c r="P88" s="447">
        <f t="shared" si="7"/>
        <v>0</v>
      </c>
      <c r="Q88" s="447">
        <f t="shared" si="7"/>
        <v>0</v>
      </c>
      <c r="R88" s="447">
        <f t="shared" si="7"/>
        <v>0</v>
      </c>
      <c r="S88" s="447">
        <f t="shared" si="7"/>
        <v>0</v>
      </c>
      <c r="T88" s="447">
        <f t="shared" si="7"/>
        <v>0</v>
      </c>
      <c r="U88" s="447">
        <f t="shared" si="7"/>
        <v>0</v>
      </c>
      <c r="V88" s="447">
        <f t="shared" si="7"/>
        <v>0</v>
      </c>
      <c r="W88" s="447">
        <f t="shared" si="7"/>
        <v>0</v>
      </c>
      <c r="X88" s="447">
        <f t="shared" si="7"/>
        <v>0</v>
      </c>
      <c r="Y88" s="447">
        <f t="shared" si="7"/>
        <v>0</v>
      </c>
      <c r="Z88" s="447">
        <f t="shared" si="7"/>
        <v>0</v>
      </c>
    </row>
    <row r="90" spans="1:26" x14ac:dyDescent="0.25">
      <c r="A90" s="739" t="s">
        <v>1227</v>
      </c>
      <c r="B90" s="739"/>
    </row>
    <row r="91" spans="1:26" ht="30" x14ac:dyDescent="0.25">
      <c r="A91" s="547" t="s">
        <v>1</v>
      </c>
      <c r="B91" s="547"/>
      <c r="C91" s="548" t="s">
        <v>1222</v>
      </c>
      <c r="D91" s="548" t="s">
        <v>1223</v>
      </c>
      <c r="E91" s="548" t="s">
        <v>392</v>
      </c>
      <c r="F91" s="549" t="s">
        <v>2</v>
      </c>
      <c r="G91" s="550" t="s">
        <v>1225</v>
      </c>
      <c r="H91" s="551" t="s">
        <v>1224</v>
      </c>
      <c r="I91" s="551" t="s">
        <v>1498</v>
      </c>
      <c r="J91" s="551" t="s">
        <v>94</v>
      </c>
      <c r="K91" s="552" t="s">
        <v>681</v>
      </c>
      <c r="L91" s="552" t="s">
        <v>1496</v>
      </c>
      <c r="M91" s="552" t="s">
        <v>1497</v>
      </c>
      <c r="N91" s="552" t="s">
        <v>682</v>
      </c>
      <c r="O91" s="552" t="s">
        <v>683</v>
      </c>
      <c r="P91" s="552" t="s">
        <v>87</v>
      </c>
      <c r="Q91" s="552" t="s">
        <v>684</v>
      </c>
      <c r="R91" s="552" t="s">
        <v>685</v>
      </c>
      <c r="S91" s="552" t="s">
        <v>690</v>
      </c>
      <c r="T91" s="552" t="s">
        <v>686</v>
      </c>
      <c r="U91" s="552" t="s">
        <v>687</v>
      </c>
      <c r="V91" s="552" t="s">
        <v>688</v>
      </c>
      <c r="W91" s="552" t="s">
        <v>689</v>
      </c>
      <c r="X91" s="552" t="s">
        <v>138</v>
      </c>
      <c r="Y91" s="552" t="s">
        <v>1385</v>
      </c>
      <c r="Z91" s="552" t="s">
        <v>1238</v>
      </c>
    </row>
    <row r="92" spans="1:26" ht="15" customHeight="1" x14ac:dyDescent="0.25">
      <c r="A92" s="538" t="s">
        <v>1867</v>
      </c>
      <c r="B92" s="535" t="s">
        <v>61</v>
      </c>
      <c r="C92" s="487">
        <v>42984</v>
      </c>
      <c r="D92" s="488">
        <v>43073</v>
      </c>
      <c r="E92" s="486">
        <v>88</v>
      </c>
      <c r="F92" s="488">
        <v>43073</v>
      </c>
      <c r="G92" s="486">
        <v>5</v>
      </c>
      <c r="H92" s="539">
        <v>8465</v>
      </c>
      <c r="I92" s="539">
        <v>0</v>
      </c>
      <c r="J92" s="539">
        <v>3385</v>
      </c>
      <c r="K92" s="496">
        <v>1</v>
      </c>
      <c r="L92" s="496"/>
      <c r="M92" s="496"/>
      <c r="N92" s="496">
        <v>1</v>
      </c>
      <c r="O92" s="496"/>
      <c r="P92" s="496">
        <v>1</v>
      </c>
      <c r="Q92" s="496">
        <v>1</v>
      </c>
      <c r="R92" s="496"/>
      <c r="S92" s="496">
        <v>1</v>
      </c>
      <c r="T92" s="496"/>
      <c r="U92" s="496"/>
      <c r="V92" s="496"/>
      <c r="W92" s="496"/>
      <c r="X92" s="496"/>
      <c r="Y92" s="496"/>
      <c r="Z92" s="496">
        <f t="shared" ref="Z92:Z100" si="8">SUM(K92:Y92)</f>
        <v>5</v>
      </c>
    </row>
    <row r="93" spans="1:26" ht="15" customHeight="1" x14ac:dyDescent="0.25">
      <c r="A93" s="553" t="s">
        <v>1869</v>
      </c>
      <c r="B93" s="496" t="s">
        <v>61</v>
      </c>
      <c r="C93" s="497">
        <v>43006</v>
      </c>
      <c r="D93" s="498">
        <v>43083</v>
      </c>
      <c r="E93" s="499">
        <v>76</v>
      </c>
      <c r="F93" s="498">
        <v>43083</v>
      </c>
      <c r="G93" s="499">
        <v>1</v>
      </c>
      <c r="H93" s="554">
        <v>1693</v>
      </c>
      <c r="I93" s="554">
        <v>5000</v>
      </c>
      <c r="J93" s="554">
        <v>677</v>
      </c>
      <c r="K93" s="496"/>
      <c r="L93" s="496"/>
      <c r="M93" s="496"/>
      <c r="N93" s="496"/>
      <c r="O93" s="496"/>
      <c r="P93" s="496">
        <v>1</v>
      </c>
      <c r="Q93" s="496"/>
      <c r="R93" s="496"/>
      <c r="S93" s="496"/>
      <c r="T93" s="496"/>
      <c r="U93" s="496"/>
      <c r="V93" s="496"/>
      <c r="W93" s="496"/>
      <c r="X93" s="496"/>
      <c r="Y93" s="496"/>
      <c r="Z93" s="496">
        <f t="shared" si="8"/>
        <v>1</v>
      </c>
    </row>
    <row r="94" spans="1:26" ht="15" customHeight="1" x14ac:dyDescent="0.25">
      <c r="A94" s="538" t="s">
        <v>1877</v>
      </c>
      <c r="B94" s="535" t="s">
        <v>61</v>
      </c>
      <c r="C94" s="487">
        <v>43070</v>
      </c>
      <c r="D94" s="488">
        <v>43097</v>
      </c>
      <c r="E94" s="486">
        <v>28</v>
      </c>
      <c r="F94" s="488">
        <v>43097</v>
      </c>
      <c r="G94" s="486">
        <v>1</v>
      </c>
      <c r="H94" s="539">
        <v>1743</v>
      </c>
      <c r="I94" s="456">
        <v>0</v>
      </c>
      <c r="J94" s="456">
        <v>697</v>
      </c>
      <c r="K94" s="535"/>
      <c r="L94" s="535"/>
      <c r="M94" s="535"/>
      <c r="N94" s="535"/>
      <c r="O94" s="535"/>
      <c r="P94" s="535">
        <v>1</v>
      </c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8"/>
        <v>1</v>
      </c>
    </row>
    <row r="95" spans="1:26" x14ac:dyDescent="0.25">
      <c r="A95" s="538" t="s">
        <v>1858</v>
      </c>
      <c r="B95" s="535" t="s">
        <v>115</v>
      </c>
      <c r="C95" s="487">
        <v>42741</v>
      </c>
      <c r="D95" s="488">
        <v>43056</v>
      </c>
      <c r="E95" s="486">
        <v>211</v>
      </c>
      <c r="F95" s="488">
        <v>43070</v>
      </c>
      <c r="G95" s="486">
        <v>2</v>
      </c>
      <c r="H95" s="539">
        <v>3386</v>
      </c>
      <c r="I95" s="539">
        <v>5000</v>
      </c>
      <c r="J95" s="539">
        <v>1354</v>
      </c>
      <c r="K95" s="535">
        <v>1</v>
      </c>
      <c r="L95" s="535"/>
      <c r="M95" s="535"/>
      <c r="N95" s="535"/>
      <c r="O95" s="535"/>
      <c r="P95" s="535">
        <v>1</v>
      </c>
      <c r="Q95" s="535"/>
      <c r="R95" s="535"/>
      <c r="S95" s="535"/>
      <c r="T95" s="535"/>
      <c r="U95" s="535"/>
      <c r="V95" s="535"/>
      <c r="W95" s="535"/>
      <c r="X95" s="535"/>
      <c r="Y95" s="535"/>
      <c r="Z95" s="496">
        <f t="shared" si="8"/>
        <v>2</v>
      </c>
    </row>
    <row r="96" spans="1:26" ht="15" customHeight="1" x14ac:dyDescent="0.25">
      <c r="A96" s="538" t="s">
        <v>1863</v>
      </c>
      <c r="B96" s="535" t="s">
        <v>115</v>
      </c>
      <c r="C96" s="487">
        <v>42800</v>
      </c>
      <c r="D96" s="488">
        <v>43073</v>
      </c>
      <c r="E96" s="486">
        <v>270</v>
      </c>
      <c r="F96" s="488">
        <v>43073</v>
      </c>
      <c r="G96" s="486">
        <v>1</v>
      </c>
      <c r="H96" s="539">
        <v>1693</v>
      </c>
      <c r="I96" s="539">
        <v>5000</v>
      </c>
      <c r="J96" s="539">
        <v>677</v>
      </c>
      <c r="K96" s="535"/>
      <c r="L96" s="535"/>
      <c r="M96" s="535"/>
      <c r="N96" s="535"/>
      <c r="O96" s="535"/>
      <c r="P96" s="535">
        <v>1</v>
      </c>
      <c r="Q96" s="535"/>
      <c r="R96" s="535"/>
      <c r="S96" s="535"/>
      <c r="T96" s="535"/>
      <c r="U96" s="535"/>
      <c r="V96" s="535"/>
      <c r="W96" s="535"/>
      <c r="X96" s="535"/>
      <c r="Y96" s="535"/>
      <c r="Z96" s="496">
        <f t="shared" si="8"/>
        <v>1</v>
      </c>
    </row>
    <row r="97" spans="1:26" ht="15" customHeight="1" x14ac:dyDescent="0.25">
      <c r="A97" s="538" t="s">
        <v>1864</v>
      </c>
      <c r="B97" s="535" t="s">
        <v>115</v>
      </c>
      <c r="C97" s="487">
        <v>42998</v>
      </c>
      <c r="D97" s="488">
        <v>43070</v>
      </c>
      <c r="E97" s="486">
        <v>70</v>
      </c>
      <c r="F97" s="488">
        <v>43070</v>
      </c>
      <c r="G97" s="486">
        <v>5</v>
      </c>
      <c r="H97" s="539">
        <v>8465</v>
      </c>
      <c r="I97" s="539">
        <v>5000</v>
      </c>
      <c r="J97" s="539">
        <v>3385</v>
      </c>
      <c r="K97" s="535">
        <v>1</v>
      </c>
      <c r="L97" s="535"/>
      <c r="M97" s="535"/>
      <c r="N97" s="535">
        <v>1</v>
      </c>
      <c r="O97" s="535"/>
      <c r="P97" s="535">
        <v>1</v>
      </c>
      <c r="Q97" s="535">
        <v>1</v>
      </c>
      <c r="R97" s="535"/>
      <c r="S97" s="535">
        <v>1</v>
      </c>
      <c r="T97" s="535"/>
      <c r="U97" s="535"/>
      <c r="V97" s="535"/>
      <c r="W97" s="535"/>
      <c r="X97" s="535"/>
      <c r="Y97" s="535"/>
      <c r="Z97" s="496">
        <f t="shared" si="8"/>
        <v>5</v>
      </c>
    </row>
    <row r="98" spans="1:26" ht="15" customHeight="1" x14ac:dyDescent="0.25">
      <c r="A98" s="538" t="s">
        <v>1871</v>
      </c>
      <c r="B98" s="535" t="s">
        <v>115</v>
      </c>
      <c r="C98" s="487">
        <v>43074</v>
      </c>
      <c r="D98" s="488">
        <v>43087</v>
      </c>
      <c r="E98" s="486">
        <v>13</v>
      </c>
      <c r="F98" s="488">
        <v>43086</v>
      </c>
      <c r="G98" s="486">
        <v>4</v>
      </c>
      <c r="H98" s="539">
        <v>6772</v>
      </c>
      <c r="I98" s="539">
        <v>5000</v>
      </c>
      <c r="J98" s="539">
        <v>2708</v>
      </c>
      <c r="K98" s="535">
        <v>1</v>
      </c>
      <c r="L98" s="535"/>
      <c r="M98" s="535"/>
      <c r="N98" s="535">
        <v>1</v>
      </c>
      <c r="O98" s="535"/>
      <c r="P98" s="535">
        <v>1</v>
      </c>
      <c r="Q98" s="535">
        <v>1</v>
      </c>
      <c r="R98" s="535"/>
      <c r="S98" s="535"/>
      <c r="T98" s="535"/>
      <c r="U98" s="535"/>
      <c r="V98" s="535"/>
      <c r="W98" s="535"/>
      <c r="X98" s="535"/>
      <c r="Y98" s="535"/>
      <c r="Z98" s="496">
        <f t="shared" si="8"/>
        <v>4</v>
      </c>
    </row>
    <row r="99" spans="1:26" ht="15" customHeight="1" x14ac:dyDescent="0.25">
      <c r="A99" s="538" t="s">
        <v>1873</v>
      </c>
      <c r="B99" s="535" t="s">
        <v>115</v>
      </c>
      <c r="C99" s="487">
        <v>42809</v>
      </c>
      <c r="D99" s="488">
        <v>43090</v>
      </c>
      <c r="E99" s="486">
        <v>276</v>
      </c>
      <c r="F99" s="488">
        <v>42852</v>
      </c>
      <c r="G99" s="486">
        <v>1</v>
      </c>
      <c r="H99" s="539">
        <v>1693</v>
      </c>
      <c r="I99" s="456">
        <v>5000</v>
      </c>
      <c r="J99" s="456">
        <v>677</v>
      </c>
      <c r="K99" s="535"/>
      <c r="L99" s="535"/>
      <c r="M99" s="535"/>
      <c r="N99" s="535"/>
      <c r="O99" s="535"/>
      <c r="P99" s="535">
        <v>1</v>
      </c>
      <c r="Q99" s="535"/>
      <c r="R99" s="535"/>
      <c r="S99" s="535"/>
      <c r="T99" s="535"/>
      <c r="U99" s="535"/>
      <c r="V99" s="535"/>
      <c r="W99" s="535"/>
      <c r="X99" s="535"/>
      <c r="Y99" s="535"/>
      <c r="Z99" s="496">
        <f t="shared" si="8"/>
        <v>1</v>
      </c>
    </row>
    <row r="100" spans="1:26" ht="15" customHeight="1" x14ac:dyDescent="0.25">
      <c r="A100" s="443" t="s">
        <v>1226</v>
      </c>
      <c r="B100" s="444"/>
      <c r="C100" s="445"/>
      <c r="D100" s="446"/>
      <c r="E100" s="447"/>
      <c r="F100" s="446"/>
      <c r="G100" s="447">
        <f>SUM(G98:G99)</f>
        <v>5</v>
      </c>
      <c r="H100" s="448">
        <f>SUM(H92:H99)</f>
        <v>33910</v>
      </c>
      <c r="I100" s="448">
        <f>SUM(I92:I99)</f>
        <v>30000</v>
      </c>
      <c r="J100" s="448">
        <f>SUM(J92:J99)</f>
        <v>13560</v>
      </c>
      <c r="K100" s="447">
        <f>SUM(K92:K99)</f>
        <v>4</v>
      </c>
      <c r="L100" s="447">
        <f t="shared" ref="L100:Y100" si="9">SUM(L92:L99)</f>
        <v>0</v>
      </c>
      <c r="M100" s="447">
        <f t="shared" si="9"/>
        <v>0</v>
      </c>
      <c r="N100" s="447">
        <f t="shared" si="9"/>
        <v>3</v>
      </c>
      <c r="O100" s="447">
        <f t="shared" si="9"/>
        <v>0</v>
      </c>
      <c r="P100" s="447">
        <f t="shared" si="9"/>
        <v>8</v>
      </c>
      <c r="Q100" s="447">
        <f t="shared" si="9"/>
        <v>3</v>
      </c>
      <c r="R100" s="447">
        <f t="shared" si="9"/>
        <v>0</v>
      </c>
      <c r="S100" s="447">
        <f t="shared" si="9"/>
        <v>2</v>
      </c>
      <c r="T100" s="447">
        <f t="shared" si="9"/>
        <v>0</v>
      </c>
      <c r="U100" s="447">
        <f t="shared" si="9"/>
        <v>0</v>
      </c>
      <c r="V100" s="447">
        <f t="shared" si="9"/>
        <v>0</v>
      </c>
      <c r="W100" s="447">
        <f t="shared" si="9"/>
        <v>0</v>
      </c>
      <c r="X100" s="447">
        <f t="shared" si="9"/>
        <v>0</v>
      </c>
      <c r="Y100" s="447">
        <f t="shared" si="9"/>
        <v>0</v>
      </c>
      <c r="Z100" s="496">
        <f t="shared" si="8"/>
        <v>20</v>
      </c>
    </row>
    <row r="101" spans="1:26" ht="15" customHeight="1" x14ac:dyDescent="0.25">
      <c r="A101" s="428"/>
      <c r="B101" s="422"/>
      <c r="C101" s="422"/>
      <c r="D101" s="429"/>
      <c r="E101" s="422"/>
      <c r="F101" s="429"/>
      <c r="G101" s="433"/>
      <c r="H101" s="422"/>
      <c r="I101" s="422"/>
      <c r="J101" s="422"/>
    </row>
    <row r="102" spans="1:26" x14ac:dyDescent="0.25">
      <c r="A102" s="739" t="s">
        <v>1228</v>
      </c>
      <c r="B102" s="739"/>
      <c r="G102" s="420"/>
    </row>
    <row r="103" spans="1:26" ht="30" x14ac:dyDescent="0.25">
      <c r="A103" s="570" t="s">
        <v>1</v>
      </c>
      <c r="B103" s="570" t="s">
        <v>59</v>
      </c>
      <c r="C103" s="425" t="s">
        <v>1222</v>
      </c>
      <c r="D103" s="425" t="s">
        <v>1223</v>
      </c>
      <c r="E103" s="425" t="s">
        <v>392</v>
      </c>
      <c r="F103" s="426" t="s">
        <v>2</v>
      </c>
      <c r="G103" s="432" t="s">
        <v>1225</v>
      </c>
      <c r="H103" s="427" t="s">
        <v>1224</v>
      </c>
      <c r="I103" s="427" t="s">
        <v>1498</v>
      </c>
      <c r="J103" s="427" t="s">
        <v>94</v>
      </c>
      <c r="K103" s="424" t="s">
        <v>681</v>
      </c>
      <c r="L103" s="424" t="s">
        <v>1496</v>
      </c>
      <c r="M103" s="424" t="s">
        <v>1497</v>
      </c>
      <c r="N103" s="424" t="s">
        <v>682</v>
      </c>
      <c r="O103" s="424" t="s">
        <v>683</v>
      </c>
      <c r="P103" s="424" t="s">
        <v>87</v>
      </c>
      <c r="Q103" s="424" t="s">
        <v>684</v>
      </c>
      <c r="R103" s="424" t="s">
        <v>685</v>
      </c>
      <c r="S103" s="424" t="s">
        <v>690</v>
      </c>
      <c r="T103" s="424" t="s">
        <v>686</v>
      </c>
      <c r="U103" s="424" t="s">
        <v>687</v>
      </c>
      <c r="V103" s="424" t="s">
        <v>688</v>
      </c>
      <c r="W103" s="424" t="s">
        <v>689</v>
      </c>
      <c r="X103" s="424" t="s">
        <v>138</v>
      </c>
      <c r="Y103" s="424" t="s">
        <v>1385</v>
      </c>
      <c r="Z103" s="424" t="s">
        <v>1238</v>
      </c>
    </row>
    <row r="104" spans="1:26" ht="15" customHeight="1" x14ac:dyDescent="0.25">
      <c r="A104" s="535" t="s">
        <v>1880</v>
      </c>
      <c r="B104" s="535" t="s">
        <v>115</v>
      </c>
      <c r="C104" s="506">
        <v>42958</v>
      </c>
      <c r="D104" s="506">
        <v>43097</v>
      </c>
      <c r="E104" s="535">
        <v>138</v>
      </c>
      <c r="F104" s="506">
        <v>43097</v>
      </c>
      <c r="G104" s="486">
        <v>0</v>
      </c>
      <c r="H104" s="539"/>
      <c r="I104" s="539">
        <v>0</v>
      </c>
      <c r="J104" s="539">
        <v>0</v>
      </c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>
        <f>SUM(K104:Y104)</f>
        <v>0</v>
      </c>
    </row>
    <row r="105" spans="1:26" s="457" customFormat="1" ht="29.45" customHeight="1" x14ac:dyDescent="0.25">
      <c r="A105" s="541" t="s">
        <v>1882</v>
      </c>
      <c r="B105" s="452" t="s">
        <v>61</v>
      </c>
      <c r="C105" s="735">
        <v>43007</v>
      </c>
      <c r="D105" s="735">
        <v>43098</v>
      </c>
      <c r="E105" s="452">
        <v>90</v>
      </c>
      <c r="F105" s="735">
        <v>43098</v>
      </c>
      <c r="G105" s="486">
        <v>0</v>
      </c>
      <c r="H105" s="539"/>
      <c r="I105" s="539">
        <v>0</v>
      </c>
      <c r="J105" s="539">
        <v>0</v>
      </c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452"/>
      <c r="Z105" s="535">
        <f t="shared" ref="Z105" si="10">SUM(K105:Y105)</f>
        <v>0</v>
      </c>
    </row>
    <row r="106" spans="1:26" s="457" customFormat="1" ht="15" customHeight="1" x14ac:dyDescent="0.25">
      <c r="A106" s="538"/>
      <c r="B106" s="535"/>
      <c r="C106" s="487"/>
      <c r="D106" s="488"/>
      <c r="E106" s="486"/>
      <c r="F106" s="488"/>
      <c r="G106" s="486"/>
      <c r="H106" s="539"/>
      <c r="I106" s="539"/>
      <c r="J106" s="539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452"/>
      <c r="Z106" s="535"/>
    </row>
    <row r="107" spans="1:26" s="457" customFormat="1" ht="15" customHeight="1" x14ac:dyDescent="0.25">
      <c r="A107" s="538"/>
      <c r="B107" s="535"/>
      <c r="C107" s="487"/>
      <c r="D107" s="488"/>
      <c r="E107" s="486"/>
      <c r="F107" s="488"/>
      <c r="G107" s="486"/>
      <c r="H107" s="539"/>
      <c r="I107" s="539"/>
      <c r="J107" s="539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452"/>
      <c r="Z107" s="535"/>
    </row>
    <row r="108" spans="1:26" s="457" customFormat="1" ht="15" customHeight="1" x14ac:dyDescent="0.25">
      <c r="A108" s="538"/>
      <c r="B108" s="535"/>
      <c r="C108" s="487"/>
      <c r="D108" s="488"/>
      <c r="E108" s="486"/>
      <c r="F108" s="488"/>
      <c r="G108" s="486"/>
      <c r="H108" s="539"/>
      <c r="I108" s="539"/>
      <c r="J108" s="539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452"/>
      <c r="Z108" s="535"/>
    </row>
    <row r="109" spans="1:26" s="457" customFormat="1" ht="15" customHeight="1" x14ac:dyDescent="0.25">
      <c r="A109" s="538"/>
      <c r="B109" s="535"/>
      <c r="C109" s="487"/>
      <c r="D109" s="488"/>
      <c r="E109" s="486"/>
      <c r="F109" s="488"/>
      <c r="G109" s="486"/>
      <c r="H109" s="539"/>
      <c r="I109" s="539"/>
      <c r="J109" s="539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35"/>
      <c r="V109" s="535"/>
      <c r="W109" s="535"/>
      <c r="X109" s="535"/>
      <c r="Y109" s="452"/>
      <c r="Z109" s="535"/>
    </row>
    <row r="110" spans="1:26" s="457" customFormat="1" ht="15" customHeight="1" x14ac:dyDescent="0.25">
      <c r="A110" s="541"/>
      <c r="B110" s="452"/>
      <c r="C110" s="453"/>
      <c r="D110" s="454"/>
      <c r="E110" s="455"/>
      <c r="F110" s="454"/>
      <c r="G110" s="455"/>
      <c r="H110" s="456"/>
      <c r="I110" s="456"/>
      <c r="J110" s="456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535"/>
    </row>
    <row r="111" spans="1:26" s="457" customFormat="1" ht="15" customHeight="1" x14ac:dyDescent="0.25">
      <c r="A111" s="541"/>
      <c r="B111" s="452"/>
      <c r="C111" s="453"/>
      <c r="D111" s="454"/>
      <c r="E111" s="455"/>
      <c r="F111" s="454"/>
      <c r="G111" s="455"/>
      <c r="H111" s="456"/>
      <c r="I111" s="456"/>
      <c r="J111" s="456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535"/>
    </row>
    <row r="112" spans="1:26" ht="15" customHeight="1" x14ac:dyDescent="0.25">
      <c r="A112" s="443" t="s">
        <v>450</v>
      </c>
      <c r="B112" s="444"/>
      <c r="C112" s="445"/>
      <c r="D112" s="446"/>
      <c r="E112" s="447"/>
      <c r="F112" s="446"/>
      <c r="G112" s="447">
        <f t="shared" ref="G112:Z112" si="11">SUM(G104:G111)</f>
        <v>0</v>
      </c>
      <c r="H112" s="448">
        <f t="shared" si="11"/>
        <v>0</v>
      </c>
      <c r="I112" s="448">
        <f>SUM(I104:I111)</f>
        <v>0</v>
      </c>
      <c r="J112" s="448">
        <f>SUM(J104:J111)</f>
        <v>0</v>
      </c>
      <c r="K112" s="447">
        <f t="shared" si="11"/>
        <v>0</v>
      </c>
      <c r="L112" s="447">
        <f t="shared" si="11"/>
        <v>0</v>
      </c>
      <c r="M112" s="447">
        <f t="shared" si="11"/>
        <v>0</v>
      </c>
      <c r="N112" s="447">
        <f t="shared" si="11"/>
        <v>0</v>
      </c>
      <c r="O112" s="447">
        <f t="shared" si="11"/>
        <v>0</v>
      </c>
      <c r="P112" s="447">
        <f t="shared" si="11"/>
        <v>0</v>
      </c>
      <c r="Q112" s="447">
        <f t="shared" si="11"/>
        <v>0</v>
      </c>
      <c r="R112" s="447">
        <f t="shared" si="11"/>
        <v>0</v>
      </c>
      <c r="S112" s="447">
        <f t="shared" si="11"/>
        <v>0</v>
      </c>
      <c r="T112" s="447">
        <f t="shared" si="11"/>
        <v>0</v>
      </c>
      <c r="U112" s="447">
        <f t="shared" si="11"/>
        <v>0</v>
      </c>
      <c r="V112" s="447">
        <f t="shared" si="11"/>
        <v>0</v>
      </c>
      <c r="W112" s="447">
        <f t="shared" si="11"/>
        <v>0</v>
      </c>
      <c r="X112" s="447"/>
      <c r="Y112" s="447"/>
      <c r="Z112" s="447">
        <f t="shared" si="11"/>
        <v>0</v>
      </c>
    </row>
    <row r="114" spans="1:26" x14ac:dyDescent="0.25">
      <c r="A114" s="739" t="s">
        <v>1229</v>
      </c>
      <c r="B114" s="739"/>
    </row>
    <row r="115" spans="1:26" ht="30" x14ac:dyDescent="0.25">
      <c r="A115" s="570" t="s">
        <v>1</v>
      </c>
      <c r="B115" s="570" t="s">
        <v>59</v>
      </c>
      <c r="C115" s="425"/>
      <c r="D115" s="425"/>
      <c r="E115" s="425"/>
      <c r="F115" s="426"/>
      <c r="G115" s="432" t="s">
        <v>1225</v>
      </c>
      <c r="H115" s="427" t="s">
        <v>1224</v>
      </c>
      <c r="I115" s="427" t="s">
        <v>1498</v>
      </c>
      <c r="J115" s="427" t="s">
        <v>94</v>
      </c>
      <c r="K115" s="424" t="s">
        <v>681</v>
      </c>
      <c r="L115" s="424" t="s">
        <v>1496</v>
      </c>
      <c r="M115" s="424" t="s">
        <v>1497</v>
      </c>
      <c r="N115" s="424" t="s">
        <v>682</v>
      </c>
      <c r="O115" s="424" t="s">
        <v>683</v>
      </c>
      <c r="P115" s="424" t="s">
        <v>87</v>
      </c>
      <c r="Q115" s="424" t="s">
        <v>684</v>
      </c>
      <c r="R115" s="424" t="s">
        <v>685</v>
      </c>
      <c r="S115" s="424" t="s">
        <v>690</v>
      </c>
      <c r="T115" s="424" t="s">
        <v>686</v>
      </c>
      <c r="U115" s="424" t="s">
        <v>687</v>
      </c>
      <c r="V115" s="424" t="s">
        <v>688</v>
      </c>
      <c r="W115" s="424" t="s">
        <v>689</v>
      </c>
      <c r="X115" s="424" t="s">
        <v>138</v>
      </c>
      <c r="Y115" s="424" t="s">
        <v>1385</v>
      </c>
      <c r="Z115" s="424" t="s">
        <v>1238</v>
      </c>
    </row>
    <row r="116" spans="1:26" s="457" customFormat="1" ht="15" customHeight="1" x14ac:dyDescent="0.25">
      <c r="A116" s="538" t="s">
        <v>1689</v>
      </c>
      <c r="B116" s="535" t="s">
        <v>115</v>
      </c>
      <c r="C116" s="487">
        <v>43075</v>
      </c>
      <c r="D116" s="488">
        <v>43088</v>
      </c>
      <c r="E116" s="486">
        <v>13</v>
      </c>
      <c r="F116" s="488">
        <v>43097</v>
      </c>
      <c r="G116" s="486">
        <v>-1</v>
      </c>
      <c r="H116" s="539">
        <v>-1693</v>
      </c>
      <c r="I116" s="539">
        <v>0</v>
      </c>
      <c r="J116" s="539">
        <v>-677</v>
      </c>
      <c r="K116" s="535"/>
      <c r="L116" s="535"/>
      <c r="M116" s="535"/>
      <c r="N116" s="535"/>
      <c r="O116" s="535"/>
      <c r="P116" s="535">
        <v>-1</v>
      </c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ref="Z116:Z124" si="12">SUM(K116:Y116)</f>
        <v>-1</v>
      </c>
    </row>
    <row r="117" spans="1:26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2"/>
        <v>0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2"/>
        <v>0</v>
      </c>
    </row>
    <row r="119" spans="1:26" s="457" customFormat="1" ht="15" customHeight="1" x14ac:dyDescent="0.25">
      <c r="A119" s="531"/>
      <c r="B119" s="535"/>
      <c r="C119" s="487"/>
      <c r="D119" s="488"/>
      <c r="E119" s="486"/>
      <c r="F119" s="488"/>
      <c r="G119" s="486"/>
      <c r="H119" s="542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2"/>
        <v>0</v>
      </c>
    </row>
    <row r="120" spans="1:26" ht="15" customHeight="1" x14ac:dyDescent="0.25">
      <c r="A120" s="531"/>
      <c r="B120" s="535"/>
      <c r="C120" s="487"/>
      <c r="D120" s="488"/>
      <c r="E120" s="486"/>
      <c r="F120" s="488"/>
      <c r="G120" s="486"/>
      <c r="H120" s="542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2"/>
        <v>0</v>
      </c>
    </row>
    <row r="121" spans="1:26" ht="15" customHeight="1" x14ac:dyDescent="0.25">
      <c r="A121" s="531"/>
      <c r="B121" s="535"/>
      <c r="C121" s="487"/>
      <c r="D121" s="488"/>
      <c r="E121" s="486"/>
      <c r="F121" s="488"/>
      <c r="G121" s="486"/>
      <c r="H121" s="542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2"/>
        <v>0</v>
      </c>
    </row>
    <row r="122" spans="1:26" s="457" customFormat="1" ht="15" customHeight="1" x14ac:dyDescent="0.25">
      <c r="A122" s="538"/>
      <c r="B122" s="535"/>
      <c r="C122" s="487"/>
      <c r="D122" s="488"/>
      <c r="E122" s="486"/>
      <c r="F122" s="488"/>
      <c r="G122" s="486"/>
      <c r="H122" s="539"/>
      <c r="I122" s="539"/>
      <c r="J122" s="539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>
        <f t="shared" si="12"/>
        <v>0</v>
      </c>
    </row>
    <row r="123" spans="1:26" ht="15" customHeight="1" x14ac:dyDescent="0.25">
      <c r="A123" s="538"/>
      <c r="B123" s="535"/>
      <c r="C123" s="487"/>
      <c r="D123" s="488"/>
      <c r="E123" s="486"/>
      <c r="F123" s="488"/>
      <c r="G123" s="486"/>
      <c r="H123" s="539"/>
      <c r="I123" s="539"/>
      <c r="J123" s="539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>
        <f t="shared" si="12"/>
        <v>0</v>
      </c>
    </row>
    <row r="124" spans="1:26" ht="15" customHeight="1" x14ac:dyDescent="0.25">
      <c r="A124" s="538"/>
      <c r="B124" s="535"/>
      <c r="C124" s="487"/>
      <c r="D124" s="488"/>
      <c r="E124" s="486"/>
      <c r="F124" s="488"/>
      <c r="G124" s="486"/>
      <c r="H124" s="539"/>
      <c r="I124" s="539"/>
      <c r="J124" s="539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>
        <f t="shared" si="12"/>
        <v>0</v>
      </c>
    </row>
    <row r="125" spans="1:26" ht="15" customHeight="1" x14ac:dyDescent="0.25">
      <c r="A125" s="443" t="s">
        <v>1230</v>
      </c>
      <c r="B125" s="444"/>
      <c r="C125" s="445"/>
      <c r="D125" s="446"/>
      <c r="E125" s="447"/>
      <c r="F125" s="446"/>
      <c r="G125" s="447">
        <f>SUM(G116:G124)</f>
        <v>-1</v>
      </c>
      <c r="H125" s="448">
        <f>SUM(H116:H124)</f>
        <v>-1693</v>
      </c>
      <c r="I125" s="448">
        <f t="shared" ref="I125:J125" si="13">SUM(I116:I124)</f>
        <v>0</v>
      </c>
      <c r="J125" s="448">
        <f t="shared" si="13"/>
        <v>-677</v>
      </c>
      <c r="K125" s="447">
        <f>SUM(K116:K124)</f>
        <v>0</v>
      </c>
      <c r="L125" s="447">
        <f t="shared" ref="L125:Z125" si="14">SUM(L116:L124)</f>
        <v>0</v>
      </c>
      <c r="M125" s="447">
        <f t="shared" si="14"/>
        <v>0</v>
      </c>
      <c r="N125" s="447">
        <f t="shared" si="14"/>
        <v>0</v>
      </c>
      <c r="O125" s="447">
        <f t="shared" si="14"/>
        <v>0</v>
      </c>
      <c r="P125" s="447">
        <f t="shared" si="14"/>
        <v>-1</v>
      </c>
      <c r="Q125" s="447">
        <f t="shared" si="14"/>
        <v>0</v>
      </c>
      <c r="R125" s="447">
        <f t="shared" si="14"/>
        <v>0</v>
      </c>
      <c r="S125" s="447">
        <f t="shared" si="14"/>
        <v>0</v>
      </c>
      <c r="T125" s="447">
        <f t="shared" si="14"/>
        <v>0</v>
      </c>
      <c r="U125" s="447">
        <f t="shared" si="14"/>
        <v>0</v>
      </c>
      <c r="V125" s="447">
        <f t="shared" si="14"/>
        <v>0</v>
      </c>
      <c r="W125" s="447">
        <f t="shared" si="14"/>
        <v>0</v>
      </c>
      <c r="X125" s="447">
        <f t="shared" si="14"/>
        <v>0</v>
      </c>
      <c r="Y125" s="447">
        <f t="shared" si="14"/>
        <v>0</v>
      </c>
      <c r="Z125" s="447">
        <f t="shared" si="14"/>
        <v>-1</v>
      </c>
    </row>
    <row r="127" spans="1:26" x14ac:dyDescent="0.25">
      <c r="A127" s="739" t="s">
        <v>1231</v>
      </c>
      <c r="B127" s="739"/>
    </row>
    <row r="128" spans="1:26" ht="30" x14ac:dyDescent="0.25">
      <c r="A128" s="570" t="s">
        <v>1</v>
      </c>
      <c r="B128" s="570" t="s">
        <v>59</v>
      </c>
      <c r="C128" s="425"/>
      <c r="D128" s="425"/>
      <c r="E128" s="425"/>
      <c r="F128" s="426"/>
      <c r="G128" s="432" t="s">
        <v>1225</v>
      </c>
      <c r="H128" s="427" t="s">
        <v>1224</v>
      </c>
      <c r="I128" s="427" t="s">
        <v>1498</v>
      </c>
      <c r="J128" s="427" t="s">
        <v>94</v>
      </c>
      <c r="K128" s="424" t="s">
        <v>681</v>
      </c>
      <c r="L128" s="424" t="s">
        <v>1496</v>
      </c>
      <c r="M128" s="424" t="s">
        <v>1497</v>
      </c>
      <c r="N128" s="424" t="s">
        <v>682</v>
      </c>
      <c r="O128" s="424" t="s">
        <v>683</v>
      </c>
      <c r="P128" s="424" t="s">
        <v>87</v>
      </c>
      <c r="Q128" s="424" t="s">
        <v>684</v>
      </c>
      <c r="R128" s="424" t="s">
        <v>685</v>
      </c>
      <c r="S128" s="424" t="s">
        <v>690</v>
      </c>
      <c r="T128" s="424" t="s">
        <v>686</v>
      </c>
      <c r="U128" s="424" t="s">
        <v>687</v>
      </c>
      <c r="V128" s="424" t="s">
        <v>688</v>
      </c>
      <c r="W128" s="424" t="s">
        <v>689</v>
      </c>
      <c r="X128" s="424" t="s">
        <v>138</v>
      </c>
      <c r="Y128" s="424" t="s">
        <v>1385</v>
      </c>
      <c r="Z128" s="424" t="s">
        <v>1238</v>
      </c>
    </row>
    <row r="129" spans="1:26" ht="15" customHeight="1" x14ac:dyDescent="0.25">
      <c r="A129" s="531" t="s">
        <v>1661</v>
      </c>
      <c r="B129" s="535" t="s">
        <v>61</v>
      </c>
      <c r="C129" s="487"/>
      <c r="D129" s="488"/>
      <c r="E129" s="486"/>
      <c r="F129" s="488"/>
      <c r="G129" s="486">
        <v>-2</v>
      </c>
      <c r="H129" s="539">
        <v>-3286</v>
      </c>
      <c r="I129" s="539"/>
      <c r="J129" s="539">
        <v>-1314</v>
      </c>
      <c r="K129" s="535"/>
      <c r="L129" s="535"/>
      <c r="M129" s="535"/>
      <c r="N129" s="535">
        <v>-1</v>
      </c>
      <c r="O129" s="535"/>
      <c r="P129" s="535">
        <v>-1</v>
      </c>
      <c r="Q129" s="535"/>
      <c r="R129" s="535"/>
      <c r="S129" s="535"/>
      <c r="T129" s="535"/>
      <c r="U129" s="535"/>
      <c r="V129" s="535"/>
      <c r="W129" s="535"/>
      <c r="X129" s="535"/>
      <c r="Y129" s="535"/>
      <c r="Z129" s="535">
        <f>SUM(K129:Y129)</f>
        <v>-2</v>
      </c>
    </row>
    <row r="130" spans="1:26" ht="15" customHeight="1" x14ac:dyDescent="0.25">
      <c r="A130" s="538" t="s">
        <v>562</v>
      </c>
      <c r="B130" s="535" t="s">
        <v>61</v>
      </c>
      <c r="C130" s="487"/>
      <c r="D130" s="488"/>
      <c r="E130" s="486"/>
      <c r="F130" s="488"/>
      <c r="G130" s="486">
        <v>-5</v>
      </c>
      <c r="H130" s="539">
        <v>-8215</v>
      </c>
      <c r="I130" s="539"/>
      <c r="J130" s="539">
        <v>-3286</v>
      </c>
      <c r="K130" s="535">
        <v>-1</v>
      </c>
      <c r="L130" s="535">
        <v>-1</v>
      </c>
      <c r="M130" s="535">
        <v>-1</v>
      </c>
      <c r="N130" s="535"/>
      <c r="O130" s="535"/>
      <c r="P130" s="535">
        <v>-1</v>
      </c>
      <c r="Q130" s="535">
        <v>-1</v>
      </c>
      <c r="R130" s="535"/>
      <c r="S130" s="535"/>
      <c r="T130" s="535"/>
      <c r="U130" s="535"/>
      <c r="V130" s="535"/>
      <c r="W130" s="535"/>
      <c r="X130" s="535"/>
      <c r="Y130" s="535"/>
      <c r="Z130" s="535">
        <f>SUM(K130:Y130)</f>
        <v>-5</v>
      </c>
    </row>
    <row r="131" spans="1:26" ht="15" customHeight="1" x14ac:dyDescent="0.25">
      <c r="A131" s="713" t="s">
        <v>1477</v>
      </c>
      <c r="B131" s="535" t="s">
        <v>115</v>
      </c>
      <c r="C131" s="487"/>
      <c r="D131" s="488"/>
      <c r="E131" s="486"/>
      <c r="F131" s="488"/>
      <c r="G131" s="486">
        <v>-1</v>
      </c>
      <c r="H131" s="539">
        <v>-1561</v>
      </c>
      <c r="I131" s="539"/>
      <c r="J131" s="539">
        <v>-624</v>
      </c>
      <c r="K131" s="535"/>
      <c r="L131" s="535"/>
      <c r="M131" s="535"/>
      <c r="N131" s="535"/>
      <c r="O131" s="535"/>
      <c r="P131" s="535"/>
      <c r="Q131" s="535">
        <v>-1</v>
      </c>
      <c r="R131" s="535"/>
      <c r="S131" s="535"/>
      <c r="T131" s="535"/>
      <c r="U131" s="535"/>
      <c r="V131" s="535"/>
      <c r="W131" s="535"/>
      <c r="X131" s="535"/>
      <c r="Y131" s="535"/>
      <c r="Z131" s="535">
        <f>SUM(K131:Y131)</f>
        <v>-1</v>
      </c>
    </row>
    <row r="132" spans="1:26" ht="15" customHeight="1" x14ac:dyDescent="0.25">
      <c r="A132" s="538" t="s">
        <v>1876</v>
      </c>
      <c r="B132" s="535" t="s">
        <v>115</v>
      </c>
      <c r="C132" s="487"/>
      <c r="D132" s="488"/>
      <c r="E132" s="486"/>
      <c r="F132" s="488"/>
      <c r="G132" s="486">
        <v>-1</v>
      </c>
      <c r="H132" s="539">
        <v>-1643</v>
      </c>
      <c r="I132" s="539"/>
      <c r="J132" s="539">
        <v>-657</v>
      </c>
      <c r="K132" s="535"/>
      <c r="L132" s="535"/>
      <c r="M132" s="535"/>
      <c r="N132" s="535"/>
      <c r="O132" s="535"/>
      <c r="P132" s="535"/>
      <c r="Q132" s="535">
        <v>-1</v>
      </c>
      <c r="R132" s="535"/>
      <c r="S132" s="535"/>
      <c r="T132" s="535"/>
      <c r="U132" s="535"/>
      <c r="V132" s="535"/>
      <c r="W132" s="535"/>
      <c r="X132" s="535"/>
      <c r="Y132" s="535"/>
      <c r="Z132" s="535"/>
    </row>
    <row r="133" spans="1:26" ht="15" customHeight="1" x14ac:dyDescent="0.25">
      <c r="A133" s="443" t="s">
        <v>1230</v>
      </c>
      <c r="B133" s="444"/>
      <c r="C133" s="445"/>
      <c r="D133" s="446"/>
      <c r="E133" s="447"/>
      <c r="F133" s="446"/>
      <c r="G133" s="447">
        <f>SUM(G129:G132)</f>
        <v>-9</v>
      </c>
      <c r="H133" s="448">
        <f>SUM(H129:H132)</f>
        <v>-14705</v>
      </c>
      <c r="I133" s="448">
        <f t="shared" ref="I133:Z133" si="15">SUM(I129:I131)</f>
        <v>0</v>
      </c>
      <c r="J133" s="448">
        <f t="shared" si="15"/>
        <v>-5224</v>
      </c>
      <c r="K133" s="447">
        <f t="shared" si="15"/>
        <v>-1</v>
      </c>
      <c r="L133" s="447">
        <f t="shared" si="15"/>
        <v>-1</v>
      </c>
      <c r="M133" s="447">
        <f t="shared" si="15"/>
        <v>-1</v>
      </c>
      <c r="N133" s="447">
        <f t="shared" si="15"/>
        <v>-1</v>
      </c>
      <c r="O133" s="447">
        <f t="shared" si="15"/>
        <v>0</v>
      </c>
      <c r="P133" s="447">
        <f t="shared" si="15"/>
        <v>-2</v>
      </c>
      <c r="Q133" s="447">
        <f t="shared" si="15"/>
        <v>-2</v>
      </c>
      <c r="R133" s="447">
        <f t="shared" si="15"/>
        <v>0</v>
      </c>
      <c r="S133" s="447">
        <f t="shared" si="15"/>
        <v>0</v>
      </c>
      <c r="T133" s="447">
        <f t="shared" si="15"/>
        <v>0</v>
      </c>
      <c r="U133" s="447">
        <f t="shared" si="15"/>
        <v>0</v>
      </c>
      <c r="V133" s="447">
        <f t="shared" si="15"/>
        <v>0</v>
      </c>
      <c r="W133" s="447">
        <f t="shared" si="15"/>
        <v>0</v>
      </c>
      <c r="X133" s="447"/>
      <c r="Y133" s="447"/>
      <c r="Z133" s="447">
        <f t="shared" si="15"/>
        <v>-8</v>
      </c>
    </row>
    <row r="134" spans="1:26" ht="15.75" thickBot="1" x14ac:dyDescent="0.3"/>
    <row r="135" spans="1:26" ht="15.75" thickBot="1" x14ac:dyDescent="0.3">
      <c r="A135" s="436" t="s">
        <v>1232</v>
      </c>
      <c r="B135" s="434"/>
      <c r="C135" s="434"/>
      <c r="D135" s="434"/>
      <c r="E135" s="434"/>
      <c r="F135" s="434"/>
      <c r="G135" s="437">
        <f t="shared" ref="G135:W135" si="16">G88+G100+G112+G125+G133</f>
        <v>-5</v>
      </c>
      <c r="H135" s="438">
        <f t="shared" si="16"/>
        <v>44139.999999999985</v>
      </c>
      <c r="I135" s="438">
        <f t="shared" si="16"/>
        <v>30000</v>
      </c>
      <c r="J135" s="438">
        <f t="shared" si="16"/>
        <v>240788</v>
      </c>
      <c r="K135" s="450">
        <f t="shared" si="16"/>
        <v>3</v>
      </c>
      <c r="L135" s="450">
        <f t="shared" si="16"/>
        <v>-1</v>
      </c>
      <c r="M135" s="450">
        <f t="shared" si="16"/>
        <v>-1</v>
      </c>
      <c r="N135" s="450">
        <f t="shared" si="16"/>
        <v>2</v>
      </c>
      <c r="O135" s="450">
        <f t="shared" si="16"/>
        <v>0</v>
      </c>
      <c r="P135" s="450">
        <f t="shared" si="16"/>
        <v>5</v>
      </c>
      <c r="Q135" s="450">
        <f t="shared" si="16"/>
        <v>1</v>
      </c>
      <c r="R135" s="450">
        <f t="shared" si="16"/>
        <v>0</v>
      </c>
      <c r="S135" s="450">
        <f t="shared" si="16"/>
        <v>2</v>
      </c>
      <c r="T135" s="450">
        <f t="shared" si="16"/>
        <v>0</v>
      </c>
      <c r="U135" s="450">
        <f t="shared" si="16"/>
        <v>0</v>
      </c>
      <c r="V135" s="450">
        <f t="shared" si="16"/>
        <v>0</v>
      </c>
      <c r="W135" s="450">
        <f t="shared" si="16"/>
        <v>0</v>
      </c>
      <c r="X135" s="450"/>
      <c r="Y135" s="450"/>
      <c r="Z135" s="450">
        <f>Z88+Z100+Z112+Z125+Z133</f>
        <v>11</v>
      </c>
    </row>
    <row r="136" spans="1:26" ht="15.75" thickBot="1" x14ac:dyDescent="0.3">
      <c r="A136" s="436" t="s">
        <v>64</v>
      </c>
      <c r="B136" s="434"/>
      <c r="C136" s="434"/>
      <c r="D136" s="434"/>
      <c r="E136" s="434"/>
      <c r="F136" s="434"/>
      <c r="G136" s="437"/>
      <c r="H136" s="438"/>
      <c r="I136" s="438"/>
      <c r="J136" s="438"/>
    </row>
    <row r="137" spans="1:26" ht="15.75" thickBot="1" x14ac:dyDescent="0.3">
      <c r="A137" s="439" t="s">
        <v>452</v>
      </c>
      <c r="B137" s="440"/>
      <c r="C137" s="440"/>
      <c r="D137" s="440"/>
      <c r="E137" s="440"/>
      <c r="F137" s="440"/>
      <c r="G137" s="441"/>
      <c r="H137" s="442">
        <f>H135-H136</f>
        <v>44139.999999999985</v>
      </c>
      <c r="I137" s="442"/>
      <c r="J137" s="442"/>
    </row>
    <row r="140" spans="1:26" x14ac:dyDescent="0.25">
      <c r="H140" s="435">
        <f>H88+H112+H125+H133</f>
        <v>10229.999999999989</v>
      </c>
      <c r="I140" s="435"/>
      <c r="J140" s="435"/>
    </row>
    <row r="144" spans="1:26" x14ac:dyDescent="0.25">
      <c r="H144" s="734" t="e">
        <f>20448+#REF!</f>
        <v>#REF!</v>
      </c>
    </row>
  </sheetData>
  <sortState ref="A129:Z132">
    <sortCondition ref="B129:B132"/>
  </sortState>
  <mergeCells count="8">
    <mergeCell ref="G3:H3"/>
    <mergeCell ref="A90:B90"/>
    <mergeCell ref="A102:B102"/>
    <mergeCell ref="A114:B114"/>
    <mergeCell ref="A127:B12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30"/>
  <sheetViews>
    <sheetView topLeftCell="A81" zoomScale="80" zoomScaleNormal="80" workbookViewId="0">
      <selection activeCell="K108" sqref="K108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7" width="11.85546875" style="419" customWidth="1"/>
    <col min="8" max="8" width="13.42578125" style="419" bestFit="1" customWidth="1"/>
    <col min="9" max="9" width="12.28515625" style="419" bestFit="1" customWidth="1"/>
    <col min="10" max="10" width="13.425781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19" t="s">
        <v>1</v>
      </c>
      <c r="B4" s="51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6" t="s">
        <v>1207</v>
      </c>
      <c r="B5" s="483"/>
      <c r="C5" s="9">
        <v>3</v>
      </c>
      <c r="D5" s="414">
        <v>4650</v>
      </c>
      <c r="E5" s="483">
        <v>3</v>
      </c>
      <c r="F5" s="414">
        <v>4785</v>
      </c>
      <c r="G5" s="483">
        <f>E5-C5</f>
        <v>0</v>
      </c>
      <c r="H5" s="414">
        <f>F5-D5</f>
        <v>135</v>
      </c>
      <c r="I5" s="414"/>
      <c r="J5" s="414">
        <v>1914</v>
      </c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>
        <f>SUM(K5:Y5)</f>
        <v>0</v>
      </c>
    </row>
    <row r="6" spans="1:26" ht="14.45" customHeight="1" x14ac:dyDescent="0.25">
      <c r="A6" s="483" t="s">
        <v>13</v>
      </c>
      <c r="B6" s="483"/>
      <c r="C6" s="9">
        <v>6</v>
      </c>
      <c r="D6" s="414">
        <v>7245</v>
      </c>
      <c r="E6" s="483">
        <v>6</v>
      </c>
      <c r="F6" s="414">
        <v>6476</v>
      </c>
      <c r="G6" s="483">
        <f t="shared" ref="G6:H83" si="0">E6-C6</f>
        <v>0</v>
      </c>
      <c r="H6" s="414">
        <f t="shared" si="0"/>
        <v>-769</v>
      </c>
      <c r="I6" s="414"/>
      <c r="J6" s="414">
        <v>2590</v>
      </c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>
        <f t="shared" ref="Z6:Z83" si="1">SUM(K6:Y6)</f>
        <v>0</v>
      </c>
    </row>
    <row r="7" spans="1:26" ht="14.45" customHeight="1" x14ac:dyDescent="0.25">
      <c r="A7" s="483" t="s">
        <v>12</v>
      </c>
      <c r="B7" s="483"/>
      <c r="C7" s="9">
        <v>0</v>
      </c>
      <c r="D7" s="414">
        <v>0</v>
      </c>
      <c r="E7" s="483">
        <v>0</v>
      </c>
      <c r="F7" s="414">
        <v>0</v>
      </c>
      <c r="G7" s="483">
        <f t="shared" si="0"/>
        <v>0</v>
      </c>
      <c r="H7" s="414">
        <f t="shared" si="0"/>
        <v>0</v>
      </c>
      <c r="I7" s="414"/>
      <c r="J7" s="414">
        <v>0</v>
      </c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>
        <f t="shared" si="1"/>
        <v>0</v>
      </c>
    </row>
    <row r="8" spans="1:26" ht="14.45" customHeight="1" x14ac:dyDescent="0.25">
      <c r="A8" s="483" t="s">
        <v>345</v>
      </c>
      <c r="B8" s="483"/>
      <c r="C8" s="9">
        <v>2</v>
      </c>
      <c r="D8" s="414">
        <v>2310</v>
      </c>
      <c r="E8" s="483">
        <v>2</v>
      </c>
      <c r="F8" s="414">
        <v>2361</v>
      </c>
      <c r="G8" s="483">
        <f t="shared" si="0"/>
        <v>0</v>
      </c>
      <c r="H8" s="414">
        <f t="shared" si="0"/>
        <v>51</v>
      </c>
      <c r="I8" s="414"/>
      <c r="J8" s="414">
        <v>944</v>
      </c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>
        <f t="shared" si="1"/>
        <v>0</v>
      </c>
    </row>
    <row r="9" spans="1:26" ht="14.45" customHeight="1" x14ac:dyDescent="0.25">
      <c r="A9" s="483" t="s">
        <v>344</v>
      </c>
      <c r="B9" s="483"/>
      <c r="C9" s="9">
        <v>2</v>
      </c>
      <c r="D9" s="414">
        <v>1260</v>
      </c>
      <c r="E9" s="483">
        <v>3</v>
      </c>
      <c r="F9" s="414">
        <v>2272</v>
      </c>
      <c r="G9" s="483">
        <f t="shared" si="0"/>
        <v>1</v>
      </c>
      <c r="H9" s="414">
        <f t="shared" si="0"/>
        <v>1012</v>
      </c>
      <c r="I9" s="414"/>
      <c r="J9" s="414">
        <v>909</v>
      </c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>
        <f t="shared" si="1"/>
        <v>0</v>
      </c>
    </row>
    <row r="10" spans="1:26" ht="14.45" customHeight="1" x14ac:dyDescent="0.25">
      <c r="A10" s="483" t="s">
        <v>342</v>
      </c>
      <c r="B10" s="483"/>
      <c r="C10" s="9">
        <v>8</v>
      </c>
      <c r="D10" s="414">
        <v>6804</v>
      </c>
      <c r="E10" s="483">
        <v>8</v>
      </c>
      <c r="F10" s="414">
        <v>8047</v>
      </c>
      <c r="G10" s="483">
        <f t="shared" si="0"/>
        <v>0</v>
      </c>
      <c r="H10" s="414">
        <f t="shared" si="0"/>
        <v>1243</v>
      </c>
      <c r="I10" s="414"/>
      <c r="J10" s="414">
        <v>3219</v>
      </c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>
        <f t="shared" si="1"/>
        <v>0</v>
      </c>
    </row>
    <row r="11" spans="1:26" ht="14.45" customHeight="1" x14ac:dyDescent="0.25">
      <c r="A11" s="483" t="s">
        <v>14</v>
      </c>
      <c r="B11" s="483"/>
      <c r="C11" s="9">
        <v>0</v>
      </c>
      <c r="D11" s="414">
        <v>0</v>
      </c>
      <c r="E11" s="483">
        <v>1</v>
      </c>
      <c r="F11" s="414">
        <v>348</v>
      </c>
      <c r="G11" s="483">
        <f t="shared" si="0"/>
        <v>1</v>
      </c>
      <c r="H11" s="414">
        <f t="shared" si="0"/>
        <v>348</v>
      </c>
      <c r="I11" s="414"/>
      <c r="J11" s="414">
        <v>139</v>
      </c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>
        <f t="shared" si="1"/>
        <v>0</v>
      </c>
    </row>
    <row r="12" spans="1:26" ht="14.45" customHeight="1" x14ac:dyDescent="0.25">
      <c r="A12" s="483" t="s">
        <v>347</v>
      </c>
      <c r="B12" s="483"/>
      <c r="C12" s="9">
        <v>2</v>
      </c>
      <c r="D12" s="414">
        <v>1785</v>
      </c>
      <c r="E12" s="483">
        <v>2</v>
      </c>
      <c r="F12" s="414">
        <v>1486</v>
      </c>
      <c r="G12" s="483">
        <f t="shared" si="0"/>
        <v>0</v>
      </c>
      <c r="H12" s="414">
        <f t="shared" si="0"/>
        <v>-299</v>
      </c>
      <c r="I12" s="414"/>
      <c r="J12" s="414">
        <v>595</v>
      </c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>
        <f t="shared" si="1"/>
        <v>0</v>
      </c>
    </row>
    <row r="13" spans="1:26" ht="14.45" customHeight="1" x14ac:dyDescent="0.25">
      <c r="A13" s="483" t="s">
        <v>16</v>
      </c>
      <c r="B13" s="483"/>
      <c r="C13" s="9">
        <v>6</v>
      </c>
      <c r="D13" s="414">
        <v>3360</v>
      </c>
      <c r="E13" s="483">
        <v>6</v>
      </c>
      <c r="F13" s="414">
        <v>4374</v>
      </c>
      <c r="G13" s="483">
        <f t="shared" si="0"/>
        <v>0</v>
      </c>
      <c r="H13" s="414">
        <f t="shared" si="0"/>
        <v>1014</v>
      </c>
      <c r="I13" s="414"/>
      <c r="J13" s="414">
        <v>1750</v>
      </c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>
        <f t="shared" si="1"/>
        <v>0</v>
      </c>
    </row>
    <row r="14" spans="1:26" ht="14.45" customHeight="1" x14ac:dyDescent="0.25">
      <c r="A14" s="483" t="s">
        <v>11</v>
      </c>
      <c r="B14" s="483"/>
      <c r="C14" s="9">
        <v>7</v>
      </c>
      <c r="D14" s="414">
        <v>6520.5</v>
      </c>
      <c r="E14" s="483">
        <v>7</v>
      </c>
      <c r="F14" s="414">
        <v>6909</v>
      </c>
      <c r="G14" s="483">
        <f t="shared" si="0"/>
        <v>0</v>
      </c>
      <c r="H14" s="414">
        <f t="shared" si="0"/>
        <v>388.5</v>
      </c>
      <c r="I14" s="414"/>
      <c r="J14" s="414">
        <v>2764</v>
      </c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>
        <f t="shared" si="1"/>
        <v>0</v>
      </c>
    </row>
    <row r="15" spans="1:26" ht="14.45" customHeight="1" x14ac:dyDescent="0.25">
      <c r="A15" s="483" t="s">
        <v>15</v>
      </c>
      <c r="B15" s="483"/>
      <c r="C15" s="9">
        <v>7</v>
      </c>
      <c r="D15" s="414">
        <v>4819.5</v>
      </c>
      <c r="E15" s="483">
        <v>7</v>
      </c>
      <c r="F15" s="414">
        <v>4807</v>
      </c>
      <c r="G15" s="483">
        <f t="shared" si="0"/>
        <v>0</v>
      </c>
      <c r="H15" s="414">
        <f t="shared" si="0"/>
        <v>-12.5</v>
      </c>
      <c r="I15" s="414"/>
      <c r="J15" s="414">
        <v>1923</v>
      </c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>
        <f t="shared" si="1"/>
        <v>0</v>
      </c>
    </row>
    <row r="16" spans="1:26" ht="14.45" customHeight="1" x14ac:dyDescent="0.25">
      <c r="A16" s="483" t="s">
        <v>9</v>
      </c>
      <c r="B16" s="483"/>
      <c r="C16" s="9">
        <v>4</v>
      </c>
      <c r="D16" s="414">
        <v>2520</v>
      </c>
      <c r="E16" s="483">
        <v>4</v>
      </c>
      <c r="F16" s="414">
        <v>2450</v>
      </c>
      <c r="G16" s="483">
        <f t="shared" si="0"/>
        <v>0</v>
      </c>
      <c r="H16" s="414">
        <f t="shared" si="0"/>
        <v>-70</v>
      </c>
      <c r="I16" s="414"/>
      <c r="J16" s="414">
        <v>980</v>
      </c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>
        <f t="shared" si="1"/>
        <v>0</v>
      </c>
    </row>
    <row r="17" spans="1:26" ht="14.45" customHeight="1" x14ac:dyDescent="0.25">
      <c r="A17" s="483" t="s">
        <v>7</v>
      </c>
      <c r="B17" s="483"/>
      <c r="C17" s="9">
        <v>8</v>
      </c>
      <c r="D17" s="414">
        <v>13608</v>
      </c>
      <c r="E17" s="483">
        <v>8</v>
      </c>
      <c r="F17" s="414">
        <v>13478</v>
      </c>
      <c r="G17" s="483">
        <f t="shared" si="0"/>
        <v>0</v>
      </c>
      <c r="H17" s="414">
        <f t="shared" si="0"/>
        <v>-130</v>
      </c>
      <c r="I17" s="414"/>
      <c r="J17" s="414">
        <v>3240</v>
      </c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>
        <f t="shared" si="1"/>
        <v>0</v>
      </c>
    </row>
    <row r="18" spans="1:26" ht="14.45" customHeight="1" x14ac:dyDescent="0.25">
      <c r="A18" s="483" t="s">
        <v>8</v>
      </c>
      <c r="B18" s="483"/>
      <c r="C18" s="9">
        <v>2</v>
      </c>
      <c r="D18" s="414">
        <v>840</v>
      </c>
      <c r="E18" s="483">
        <v>2</v>
      </c>
      <c r="F18" s="414">
        <v>697</v>
      </c>
      <c r="G18" s="483">
        <f t="shared" si="0"/>
        <v>0</v>
      </c>
      <c r="H18" s="414">
        <f t="shared" si="0"/>
        <v>-143</v>
      </c>
      <c r="I18" s="414"/>
      <c r="J18" s="414">
        <v>279</v>
      </c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>
        <f t="shared" si="1"/>
        <v>0</v>
      </c>
    </row>
    <row r="19" spans="1:26" ht="14.45" customHeight="1" x14ac:dyDescent="0.25">
      <c r="A19" s="483" t="s">
        <v>1201</v>
      </c>
      <c r="B19" s="483"/>
      <c r="C19" s="9">
        <v>7</v>
      </c>
      <c r="D19" s="414">
        <v>6048</v>
      </c>
      <c r="E19" s="483">
        <v>7</v>
      </c>
      <c r="F19" s="414">
        <v>6387</v>
      </c>
      <c r="G19" s="483">
        <f t="shared" si="0"/>
        <v>0</v>
      </c>
      <c r="H19" s="414">
        <f t="shared" si="0"/>
        <v>339</v>
      </c>
      <c r="I19" s="414"/>
      <c r="J19" s="414">
        <v>2555</v>
      </c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>
        <f t="shared" si="1"/>
        <v>0</v>
      </c>
    </row>
    <row r="20" spans="1:26" ht="14.45" customHeight="1" x14ac:dyDescent="0.25">
      <c r="A20" s="9" t="s">
        <v>1202</v>
      </c>
      <c r="B20" s="483"/>
      <c r="C20" s="9">
        <v>11</v>
      </c>
      <c r="D20" s="414">
        <v>16899</v>
      </c>
      <c r="E20" s="483">
        <v>11</v>
      </c>
      <c r="F20" s="414">
        <f>12117+4650</f>
        <v>16767</v>
      </c>
      <c r="G20" s="483">
        <f t="shared" si="0"/>
        <v>0</v>
      </c>
      <c r="H20" s="414">
        <f t="shared" si="0"/>
        <v>-132</v>
      </c>
      <c r="I20" s="414"/>
      <c r="J20" s="414">
        <v>4000</v>
      </c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>
        <f t="shared" si="1"/>
        <v>0</v>
      </c>
    </row>
    <row r="21" spans="1:26" ht="14.45" customHeight="1" x14ac:dyDescent="0.25">
      <c r="A21" s="6" t="s">
        <v>377</v>
      </c>
      <c r="B21" s="483"/>
      <c r="C21" s="9">
        <v>1</v>
      </c>
      <c r="D21" s="414">
        <v>430</v>
      </c>
      <c r="E21" s="483">
        <v>1</v>
      </c>
      <c r="F21" s="414">
        <v>890</v>
      </c>
      <c r="G21" s="483">
        <f t="shared" si="0"/>
        <v>0</v>
      </c>
      <c r="H21" s="414">
        <f t="shared" si="0"/>
        <v>460</v>
      </c>
      <c r="I21" s="414"/>
      <c r="J21" s="414">
        <v>356</v>
      </c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>
        <f t="shared" si="1"/>
        <v>0</v>
      </c>
    </row>
    <row r="22" spans="1:26" ht="14.45" customHeight="1" x14ac:dyDescent="0.25">
      <c r="A22" s="9" t="s">
        <v>335</v>
      </c>
      <c r="B22" s="483"/>
      <c r="C22" s="9">
        <v>4</v>
      </c>
      <c r="D22" s="414">
        <v>5185</v>
      </c>
      <c r="E22" s="483">
        <v>4</v>
      </c>
      <c r="F22" s="414">
        <v>4893</v>
      </c>
      <c r="G22" s="483">
        <f t="shared" si="0"/>
        <v>0</v>
      </c>
      <c r="H22" s="414">
        <f t="shared" si="0"/>
        <v>-292</v>
      </c>
      <c r="I22" s="414"/>
      <c r="J22" s="414">
        <v>1957</v>
      </c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>
        <f t="shared" si="1"/>
        <v>0</v>
      </c>
    </row>
    <row r="23" spans="1:26" ht="14.45" customHeight="1" x14ac:dyDescent="0.25">
      <c r="A23" s="9" t="s">
        <v>336</v>
      </c>
      <c r="B23" s="483"/>
      <c r="C23" s="9">
        <v>4</v>
      </c>
      <c r="D23" s="414">
        <v>2590</v>
      </c>
      <c r="E23" s="483">
        <v>4</v>
      </c>
      <c r="F23" s="414">
        <v>2666</v>
      </c>
      <c r="G23" s="483">
        <f t="shared" si="0"/>
        <v>0</v>
      </c>
      <c r="H23" s="414">
        <f t="shared" si="0"/>
        <v>76</v>
      </c>
      <c r="I23" s="414"/>
      <c r="J23" s="414">
        <v>1066</v>
      </c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>
        <f t="shared" si="1"/>
        <v>0</v>
      </c>
    </row>
    <row r="24" spans="1:26" ht="14.45" customHeight="1" x14ac:dyDescent="0.25">
      <c r="A24" s="6" t="s">
        <v>234</v>
      </c>
      <c r="B24" s="483"/>
      <c r="C24" s="9">
        <v>1</v>
      </c>
      <c r="D24" s="414">
        <v>1595</v>
      </c>
      <c r="E24" s="483">
        <v>1</v>
      </c>
      <c r="F24" s="414">
        <v>1643</v>
      </c>
      <c r="G24" s="483">
        <f t="shared" si="0"/>
        <v>0</v>
      </c>
      <c r="H24" s="414">
        <f t="shared" si="0"/>
        <v>48</v>
      </c>
      <c r="I24" s="414"/>
      <c r="J24" s="414">
        <v>657</v>
      </c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>
        <f t="shared" si="1"/>
        <v>0</v>
      </c>
    </row>
    <row r="25" spans="1:26" ht="14.45" customHeight="1" x14ac:dyDescent="0.25">
      <c r="A25" s="6" t="s">
        <v>233</v>
      </c>
      <c r="B25" s="483"/>
      <c r="C25" s="9">
        <v>3</v>
      </c>
      <c r="D25" s="414">
        <v>4785</v>
      </c>
      <c r="E25" s="483">
        <v>3</v>
      </c>
      <c r="F25" s="414">
        <v>4929</v>
      </c>
      <c r="G25" s="483">
        <f t="shared" si="0"/>
        <v>0</v>
      </c>
      <c r="H25" s="414">
        <f t="shared" si="0"/>
        <v>144</v>
      </c>
      <c r="I25" s="414"/>
      <c r="J25" s="414">
        <v>1972</v>
      </c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>
        <f t="shared" si="1"/>
        <v>0</v>
      </c>
    </row>
    <row r="26" spans="1:26" ht="14.45" customHeight="1" x14ac:dyDescent="0.25">
      <c r="A26" s="6" t="s">
        <v>235</v>
      </c>
      <c r="B26" s="483"/>
      <c r="C26" s="9">
        <v>1</v>
      </c>
      <c r="D26" s="414">
        <v>1595</v>
      </c>
      <c r="E26" s="483">
        <v>1</v>
      </c>
      <c r="F26" s="414">
        <v>1643</v>
      </c>
      <c r="G26" s="483">
        <f t="shared" si="0"/>
        <v>0</v>
      </c>
      <c r="H26" s="414">
        <f t="shared" si="0"/>
        <v>48</v>
      </c>
      <c r="I26" s="414"/>
      <c r="J26" s="414">
        <v>657</v>
      </c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>
        <f t="shared" si="1"/>
        <v>0</v>
      </c>
    </row>
    <row r="27" spans="1:26" ht="14.45" customHeight="1" x14ac:dyDescent="0.25">
      <c r="A27" s="6" t="s">
        <v>209</v>
      </c>
      <c r="B27" s="483"/>
      <c r="C27" s="9">
        <v>6</v>
      </c>
      <c r="D27" s="414">
        <v>9261</v>
      </c>
      <c r="E27" s="483">
        <v>6</v>
      </c>
      <c r="F27" s="414">
        <v>9570</v>
      </c>
      <c r="G27" s="483">
        <f t="shared" si="0"/>
        <v>0</v>
      </c>
      <c r="H27" s="414">
        <f t="shared" si="0"/>
        <v>309</v>
      </c>
      <c r="I27" s="414"/>
      <c r="J27" s="414">
        <v>3828</v>
      </c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>
        <f t="shared" si="1"/>
        <v>0</v>
      </c>
    </row>
    <row r="28" spans="1:26" ht="14.45" customHeight="1" x14ac:dyDescent="0.25">
      <c r="A28" s="9" t="s">
        <v>205</v>
      </c>
      <c r="B28" s="483"/>
      <c r="C28" s="9">
        <v>8</v>
      </c>
      <c r="D28" s="414">
        <v>9913.5</v>
      </c>
      <c r="E28" s="483">
        <v>8</v>
      </c>
      <c r="F28" s="414">
        <v>11714</v>
      </c>
      <c r="G28" s="483">
        <f t="shared" si="0"/>
        <v>0</v>
      </c>
      <c r="H28" s="414">
        <f t="shared" si="0"/>
        <v>1800.5</v>
      </c>
      <c r="I28" s="414"/>
      <c r="J28" s="414">
        <v>4000</v>
      </c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>
        <f t="shared" si="1"/>
        <v>0</v>
      </c>
    </row>
    <row r="29" spans="1:26" ht="14.45" customHeight="1" x14ac:dyDescent="0.25">
      <c r="A29" s="525" t="s">
        <v>346</v>
      </c>
      <c r="B29" s="524"/>
      <c r="C29" s="523">
        <v>10</v>
      </c>
      <c r="D29" s="477">
        <v>15950</v>
      </c>
      <c r="E29" s="524">
        <v>10</v>
      </c>
      <c r="F29" s="477">
        <v>15950</v>
      </c>
      <c r="G29" s="483">
        <f t="shared" si="0"/>
        <v>0</v>
      </c>
      <c r="H29" s="414">
        <f t="shared" si="0"/>
        <v>0</v>
      </c>
      <c r="I29" s="414"/>
      <c r="J29" s="414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>
        <f t="shared" si="1"/>
        <v>0</v>
      </c>
    </row>
    <row r="30" spans="1:26" ht="14.45" customHeight="1" x14ac:dyDescent="0.25">
      <c r="A30" s="9" t="s">
        <v>241</v>
      </c>
      <c r="B30" s="483"/>
      <c r="C30" s="9">
        <v>6</v>
      </c>
      <c r="D30" s="414">
        <v>6825</v>
      </c>
      <c r="E30" s="483">
        <v>6</v>
      </c>
      <c r="F30" s="414">
        <v>7890</v>
      </c>
      <c r="G30" s="483">
        <f t="shared" si="0"/>
        <v>0</v>
      </c>
      <c r="H30" s="414">
        <f t="shared" si="0"/>
        <v>1065</v>
      </c>
      <c r="I30" s="414"/>
      <c r="J30" s="414">
        <v>3156</v>
      </c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>
        <f t="shared" si="1"/>
        <v>0</v>
      </c>
    </row>
    <row r="31" spans="1:26" ht="14.45" customHeight="1" x14ac:dyDescent="0.25">
      <c r="A31" s="9" t="s">
        <v>240</v>
      </c>
      <c r="B31" s="483"/>
      <c r="C31" s="9">
        <v>1</v>
      </c>
      <c r="D31" s="414">
        <v>2415</v>
      </c>
      <c r="E31" s="483">
        <v>1</v>
      </c>
      <c r="F31" s="414">
        <v>2485</v>
      </c>
      <c r="G31" s="483">
        <f t="shared" si="0"/>
        <v>0</v>
      </c>
      <c r="H31" s="414">
        <f t="shared" si="0"/>
        <v>70</v>
      </c>
      <c r="I31" s="414"/>
      <c r="J31" s="414">
        <v>994</v>
      </c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>
        <f t="shared" si="1"/>
        <v>0</v>
      </c>
    </row>
    <row r="32" spans="1:26" ht="14.45" customHeight="1" x14ac:dyDescent="0.25">
      <c r="A32" s="9" t="s">
        <v>239</v>
      </c>
      <c r="B32" s="483"/>
      <c r="C32" s="9">
        <v>1</v>
      </c>
      <c r="D32" s="414">
        <v>2173</v>
      </c>
      <c r="E32" s="483">
        <v>1</v>
      </c>
      <c r="F32" s="414">
        <v>2485</v>
      </c>
      <c r="G32" s="483">
        <f t="shared" si="0"/>
        <v>0</v>
      </c>
      <c r="H32" s="414">
        <f t="shared" si="0"/>
        <v>312</v>
      </c>
      <c r="I32" s="414"/>
      <c r="J32" s="414">
        <v>994</v>
      </c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>
        <f t="shared" si="1"/>
        <v>0</v>
      </c>
    </row>
    <row r="33" spans="1:26" ht="14.45" customHeight="1" x14ac:dyDescent="0.25">
      <c r="A33" s="9" t="s">
        <v>238</v>
      </c>
      <c r="B33" s="483"/>
      <c r="C33" s="9">
        <v>5</v>
      </c>
      <c r="D33" s="414">
        <v>6825</v>
      </c>
      <c r="E33" s="483">
        <v>5</v>
      </c>
      <c r="F33" s="414">
        <v>7130</v>
      </c>
      <c r="G33" s="483">
        <f t="shared" si="0"/>
        <v>0</v>
      </c>
      <c r="H33" s="414">
        <f t="shared" si="0"/>
        <v>305</v>
      </c>
      <c r="I33" s="414"/>
      <c r="J33" s="414">
        <v>2852</v>
      </c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>
        <f t="shared" si="1"/>
        <v>0</v>
      </c>
    </row>
    <row r="34" spans="1:26" ht="14.45" customHeight="1" x14ac:dyDescent="0.25">
      <c r="A34" s="9" t="s">
        <v>237</v>
      </c>
      <c r="B34" s="483"/>
      <c r="C34" s="9">
        <v>8</v>
      </c>
      <c r="D34" s="414">
        <v>13230</v>
      </c>
      <c r="E34" s="483">
        <v>8</v>
      </c>
      <c r="F34" s="414">
        <v>13127</v>
      </c>
      <c r="G34" s="483">
        <f t="shared" si="0"/>
        <v>0</v>
      </c>
      <c r="H34" s="414">
        <f t="shared" si="0"/>
        <v>-103</v>
      </c>
      <c r="I34" s="414"/>
      <c r="J34" s="414">
        <v>4000</v>
      </c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>
        <f t="shared" si="1"/>
        <v>0</v>
      </c>
    </row>
    <row r="35" spans="1:26" ht="14.45" customHeight="1" x14ac:dyDescent="0.25">
      <c r="A35" s="9" t="s">
        <v>236</v>
      </c>
      <c r="B35" s="483"/>
      <c r="C35" s="9">
        <v>1</v>
      </c>
      <c r="D35" s="414">
        <v>2415</v>
      </c>
      <c r="E35" s="483">
        <v>1</v>
      </c>
      <c r="F35" s="414">
        <v>2485</v>
      </c>
      <c r="G35" s="483">
        <f t="shared" si="0"/>
        <v>0</v>
      </c>
      <c r="H35" s="414">
        <f t="shared" si="0"/>
        <v>70</v>
      </c>
      <c r="I35" s="414"/>
      <c r="J35" s="414">
        <v>994</v>
      </c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>
        <f t="shared" si="1"/>
        <v>0</v>
      </c>
    </row>
    <row r="36" spans="1:26" ht="14.45" customHeight="1" x14ac:dyDescent="0.25">
      <c r="A36" s="9" t="s">
        <v>296</v>
      </c>
      <c r="B36" s="483"/>
      <c r="C36" s="9">
        <v>7</v>
      </c>
      <c r="D36" s="414">
        <v>11767.5</v>
      </c>
      <c r="E36" s="483">
        <v>7</v>
      </c>
      <c r="F36" s="414">
        <v>11618</v>
      </c>
      <c r="G36" s="483">
        <f t="shared" si="0"/>
        <v>0</v>
      </c>
      <c r="H36" s="414">
        <f t="shared" si="0"/>
        <v>-149.5</v>
      </c>
      <c r="I36" s="414"/>
      <c r="J36" s="414">
        <v>4000</v>
      </c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>
        <f t="shared" si="1"/>
        <v>0</v>
      </c>
    </row>
    <row r="37" spans="1:26" ht="14.45" customHeight="1" x14ac:dyDescent="0.25">
      <c r="A37" s="9" t="s">
        <v>62</v>
      </c>
      <c r="B37" s="483"/>
      <c r="C37" s="9">
        <v>2</v>
      </c>
      <c r="D37" s="414">
        <v>3190</v>
      </c>
      <c r="E37" s="483">
        <v>2</v>
      </c>
      <c r="F37" s="414">
        <v>3286</v>
      </c>
      <c r="G37" s="483">
        <f t="shared" si="0"/>
        <v>0</v>
      </c>
      <c r="H37" s="414">
        <f t="shared" si="0"/>
        <v>96</v>
      </c>
      <c r="I37" s="414"/>
      <c r="J37" s="414">
        <v>1314</v>
      </c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>
        <f t="shared" si="1"/>
        <v>0</v>
      </c>
    </row>
    <row r="38" spans="1:26" ht="14.45" customHeight="1" x14ac:dyDescent="0.25">
      <c r="A38" s="6" t="s">
        <v>177</v>
      </c>
      <c r="B38" s="483"/>
      <c r="C38" s="9">
        <v>7</v>
      </c>
      <c r="D38" s="414">
        <v>10850</v>
      </c>
      <c r="E38" s="483">
        <v>7</v>
      </c>
      <c r="F38" s="414">
        <v>11165</v>
      </c>
      <c r="G38" s="483">
        <f t="shared" si="0"/>
        <v>0</v>
      </c>
      <c r="H38" s="414">
        <f t="shared" si="0"/>
        <v>315</v>
      </c>
      <c r="I38" s="414"/>
      <c r="J38" s="414">
        <v>4466</v>
      </c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>
        <f t="shared" si="1"/>
        <v>0</v>
      </c>
    </row>
    <row r="39" spans="1:26" ht="14.45" customHeight="1" x14ac:dyDescent="0.25">
      <c r="A39" s="6" t="s">
        <v>105</v>
      </c>
      <c r="B39" s="483"/>
      <c r="C39" s="9">
        <v>1</v>
      </c>
      <c r="D39" s="414">
        <v>1595</v>
      </c>
      <c r="E39" s="483">
        <v>1</v>
      </c>
      <c r="F39" s="414">
        <v>1643</v>
      </c>
      <c r="G39" s="483">
        <f t="shared" si="0"/>
        <v>0</v>
      </c>
      <c r="H39" s="414">
        <f t="shared" si="0"/>
        <v>48</v>
      </c>
      <c r="I39" s="414"/>
      <c r="J39" s="414">
        <v>657</v>
      </c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>
        <f t="shared" si="1"/>
        <v>0</v>
      </c>
    </row>
    <row r="40" spans="1:26" ht="14.45" customHeight="1" x14ac:dyDescent="0.25">
      <c r="A40" s="6" t="s">
        <v>106</v>
      </c>
      <c r="B40" s="483"/>
      <c r="C40" s="9">
        <v>1</v>
      </c>
      <c r="D40" s="414">
        <v>1595</v>
      </c>
      <c r="E40" s="483">
        <v>1</v>
      </c>
      <c r="F40" s="414">
        <v>1643</v>
      </c>
      <c r="G40" s="483">
        <f t="shared" si="0"/>
        <v>0</v>
      </c>
      <c r="H40" s="414">
        <f t="shared" si="0"/>
        <v>48</v>
      </c>
      <c r="I40" s="414"/>
      <c r="J40" s="414">
        <v>657</v>
      </c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>
        <f t="shared" si="1"/>
        <v>0</v>
      </c>
    </row>
    <row r="41" spans="1:26" ht="14.45" customHeight="1" x14ac:dyDescent="0.25">
      <c r="A41" s="6" t="s">
        <v>108</v>
      </c>
      <c r="B41" s="483"/>
      <c r="C41" s="9">
        <v>1</v>
      </c>
      <c r="D41" s="414">
        <v>1595</v>
      </c>
      <c r="E41" s="483">
        <v>1</v>
      </c>
      <c r="F41" s="414">
        <v>1643</v>
      </c>
      <c r="G41" s="483">
        <f t="shared" si="0"/>
        <v>0</v>
      </c>
      <c r="H41" s="414">
        <f t="shared" si="0"/>
        <v>48</v>
      </c>
      <c r="I41" s="414"/>
      <c r="J41" s="414">
        <v>657</v>
      </c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>
        <f t="shared" si="1"/>
        <v>0</v>
      </c>
    </row>
    <row r="42" spans="1:26" ht="14.45" customHeight="1" x14ac:dyDescent="0.25">
      <c r="A42" s="6" t="s">
        <v>107</v>
      </c>
      <c r="B42" s="483"/>
      <c r="C42" s="9">
        <v>1</v>
      </c>
      <c r="D42" s="414">
        <v>1595</v>
      </c>
      <c r="E42" s="483">
        <v>1</v>
      </c>
      <c r="F42" s="414">
        <v>1643</v>
      </c>
      <c r="G42" s="483">
        <f t="shared" si="0"/>
        <v>0</v>
      </c>
      <c r="H42" s="414">
        <f t="shared" si="0"/>
        <v>48</v>
      </c>
      <c r="I42" s="414"/>
      <c r="J42" s="414">
        <v>657</v>
      </c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>
        <f t="shared" si="1"/>
        <v>0</v>
      </c>
    </row>
    <row r="43" spans="1:26" ht="15" customHeight="1" x14ac:dyDescent="0.25">
      <c r="A43" s="6" t="s">
        <v>109</v>
      </c>
      <c r="B43" s="483"/>
      <c r="C43" s="9">
        <v>1</v>
      </c>
      <c r="D43" s="414">
        <v>1595</v>
      </c>
      <c r="E43" s="483">
        <v>1</v>
      </c>
      <c r="F43" s="414">
        <v>1643</v>
      </c>
      <c r="G43" s="483">
        <f t="shared" si="0"/>
        <v>0</v>
      </c>
      <c r="H43" s="414">
        <f t="shared" si="0"/>
        <v>48</v>
      </c>
      <c r="I43" s="414"/>
      <c r="J43" s="414">
        <v>657</v>
      </c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>
        <f t="shared" si="1"/>
        <v>0</v>
      </c>
    </row>
    <row r="44" spans="1:26" ht="15" customHeight="1" x14ac:dyDescent="0.25">
      <c r="A44" s="6" t="s">
        <v>1013</v>
      </c>
      <c r="B44" s="483"/>
      <c r="C44" s="9">
        <v>3</v>
      </c>
      <c r="D44" s="414">
        <v>8100</v>
      </c>
      <c r="E44" s="483">
        <v>4</v>
      </c>
      <c r="F44" s="414">
        <f>6380+2200</f>
        <v>8580</v>
      </c>
      <c r="G44" s="483">
        <f t="shared" si="0"/>
        <v>1</v>
      </c>
      <c r="H44" s="414">
        <f t="shared" si="0"/>
        <v>480</v>
      </c>
      <c r="I44" s="414"/>
      <c r="J44" s="414">
        <v>1914</v>
      </c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>
        <f t="shared" si="1"/>
        <v>0</v>
      </c>
    </row>
    <row r="45" spans="1:26" ht="15" customHeight="1" x14ac:dyDescent="0.25">
      <c r="A45" s="6" t="s">
        <v>286</v>
      </c>
      <c r="B45" s="483"/>
      <c r="C45" s="9">
        <v>9</v>
      </c>
      <c r="D45" s="414">
        <v>12541.5</v>
      </c>
      <c r="E45" s="483">
        <v>9</v>
      </c>
      <c r="F45" s="414">
        <v>14723</v>
      </c>
      <c r="G45" s="483">
        <f t="shared" si="0"/>
        <v>0</v>
      </c>
      <c r="H45" s="414">
        <f t="shared" si="0"/>
        <v>2181.5</v>
      </c>
      <c r="I45" s="414"/>
      <c r="J45" s="414">
        <v>4000</v>
      </c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>
        <f t="shared" si="1"/>
        <v>0</v>
      </c>
    </row>
    <row r="46" spans="1:26" ht="15" customHeight="1" x14ac:dyDescent="0.25">
      <c r="A46" s="6" t="s">
        <v>161</v>
      </c>
      <c r="B46" s="483"/>
      <c r="C46" s="9">
        <v>9</v>
      </c>
      <c r="D46" s="414">
        <v>11961</v>
      </c>
      <c r="E46" s="483">
        <v>9</v>
      </c>
      <c r="F46" s="414">
        <v>11817</v>
      </c>
      <c r="G46" s="483">
        <f t="shared" si="0"/>
        <v>0</v>
      </c>
      <c r="H46" s="414">
        <f t="shared" si="0"/>
        <v>-144</v>
      </c>
      <c r="I46" s="414"/>
      <c r="J46" s="414">
        <v>4000</v>
      </c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>
        <f t="shared" si="1"/>
        <v>0</v>
      </c>
    </row>
    <row r="47" spans="1:26" ht="15" customHeight="1" x14ac:dyDescent="0.25">
      <c r="A47" s="523" t="s">
        <v>182</v>
      </c>
      <c r="B47" s="524"/>
      <c r="C47" s="523">
        <v>8</v>
      </c>
      <c r="D47" s="477">
        <v>12760</v>
      </c>
      <c r="E47" s="483">
        <v>8</v>
      </c>
      <c r="F47" s="414">
        <v>12760</v>
      </c>
      <c r="G47" s="483">
        <f t="shared" si="0"/>
        <v>0</v>
      </c>
      <c r="H47" s="414">
        <f t="shared" si="0"/>
        <v>0</v>
      </c>
      <c r="I47" s="414"/>
      <c r="J47" s="414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>
        <f t="shared" si="1"/>
        <v>0</v>
      </c>
    </row>
    <row r="48" spans="1:26" ht="15" customHeight="1" x14ac:dyDescent="0.25">
      <c r="A48" s="26" t="s">
        <v>1163</v>
      </c>
      <c r="B48" s="483"/>
      <c r="C48" s="9">
        <v>5</v>
      </c>
      <c r="D48" s="414">
        <v>9185</v>
      </c>
      <c r="E48" s="483">
        <v>6</v>
      </c>
      <c r="F48" s="414">
        <v>9858</v>
      </c>
      <c r="G48" s="483">
        <f t="shared" si="0"/>
        <v>1</v>
      </c>
      <c r="H48" s="414">
        <f t="shared" si="0"/>
        <v>673</v>
      </c>
      <c r="I48" s="414"/>
      <c r="J48" s="414">
        <v>3943</v>
      </c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>
        <f t="shared" si="1"/>
        <v>0</v>
      </c>
    </row>
    <row r="49" spans="1:26" ht="15" customHeight="1" x14ac:dyDescent="0.25">
      <c r="A49" s="9" t="s">
        <v>298</v>
      </c>
      <c r="B49" s="483"/>
      <c r="C49" s="9">
        <v>5</v>
      </c>
      <c r="D49" s="414">
        <v>8810</v>
      </c>
      <c r="E49" s="483">
        <v>5</v>
      </c>
      <c r="F49" s="414">
        <v>10845</v>
      </c>
      <c r="G49" s="483">
        <f t="shared" si="0"/>
        <v>0</v>
      </c>
      <c r="H49" s="414">
        <f t="shared" si="0"/>
        <v>2035</v>
      </c>
      <c r="I49" s="414"/>
      <c r="J49" s="414">
        <v>3458</v>
      </c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>
        <f t="shared" si="1"/>
        <v>0</v>
      </c>
    </row>
    <row r="50" spans="1:26" ht="15" customHeight="1" x14ac:dyDescent="0.25">
      <c r="A50" s="6" t="s">
        <v>1348</v>
      </c>
      <c r="B50" s="483"/>
      <c r="C50" s="6">
        <v>62</v>
      </c>
      <c r="D50" s="414">
        <v>48050</v>
      </c>
      <c r="E50" s="6">
        <v>62</v>
      </c>
      <c r="F50" s="414">
        <v>48050</v>
      </c>
      <c r="G50" s="483">
        <f t="shared" si="0"/>
        <v>0</v>
      </c>
      <c r="H50" s="414">
        <f t="shared" si="0"/>
        <v>0</v>
      </c>
      <c r="I50" s="414"/>
      <c r="J50" s="414">
        <v>31000</v>
      </c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>
        <f t="shared" si="1"/>
        <v>0</v>
      </c>
    </row>
    <row r="51" spans="1:26" ht="15" customHeight="1" x14ac:dyDescent="0.25">
      <c r="A51" s="6" t="s">
        <v>1406</v>
      </c>
      <c r="B51" s="483"/>
      <c r="C51" s="6">
        <v>4</v>
      </c>
      <c r="D51" s="414">
        <v>3100</v>
      </c>
      <c r="E51" s="6">
        <v>4</v>
      </c>
      <c r="F51" s="414">
        <v>3100</v>
      </c>
      <c r="G51" s="483">
        <f t="shared" si="0"/>
        <v>0</v>
      </c>
      <c r="H51" s="414">
        <f t="shared" si="0"/>
        <v>0</v>
      </c>
      <c r="I51" s="414"/>
      <c r="J51" s="414">
        <v>0</v>
      </c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>
        <f t="shared" si="1"/>
        <v>0</v>
      </c>
    </row>
    <row r="52" spans="1:26" ht="15" customHeight="1" x14ac:dyDescent="0.25">
      <c r="A52" s="6" t="s">
        <v>1407</v>
      </c>
      <c r="B52" s="483"/>
      <c r="C52" s="6">
        <v>4</v>
      </c>
      <c r="D52" s="414">
        <v>3100</v>
      </c>
      <c r="E52" s="6">
        <v>4</v>
      </c>
      <c r="F52" s="414">
        <v>3100</v>
      </c>
      <c r="G52" s="483">
        <f t="shared" si="0"/>
        <v>0</v>
      </c>
      <c r="H52" s="414">
        <f t="shared" si="0"/>
        <v>0</v>
      </c>
      <c r="I52" s="414"/>
      <c r="J52" s="414">
        <v>0</v>
      </c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>
        <f t="shared" si="1"/>
        <v>0</v>
      </c>
    </row>
    <row r="53" spans="1:26" ht="15" customHeight="1" x14ac:dyDescent="0.25">
      <c r="A53" s="6" t="s">
        <v>1408</v>
      </c>
      <c r="B53" s="483"/>
      <c r="C53" s="6">
        <v>4</v>
      </c>
      <c r="D53" s="414">
        <v>3100</v>
      </c>
      <c r="E53" s="6">
        <v>4</v>
      </c>
      <c r="F53" s="414">
        <v>3100</v>
      </c>
      <c r="G53" s="483">
        <f t="shared" si="0"/>
        <v>0</v>
      </c>
      <c r="H53" s="414">
        <f t="shared" si="0"/>
        <v>0</v>
      </c>
      <c r="I53" s="414"/>
      <c r="J53" s="414">
        <v>0</v>
      </c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>
        <f t="shared" si="1"/>
        <v>0</v>
      </c>
    </row>
    <row r="54" spans="1:26" ht="15" customHeight="1" x14ac:dyDescent="0.25">
      <c r="A54" s="6" t="s">
        <v>1369</v>
      </c>
      <c r="B54" s="483"/>
      <c r="C54" s="6">
        <v>4</v>
      </c>
      <c r="D54" s="414">
        <v>3100</v>
      </c>
      <c r="E54" s="6">
        <v>4</v>
      </c>
      <c r="F54" s="414">
        <v>3100</v>
      </c>
      <c r="G54" s="483">
        <f t="shared" si="0"/>
        <v>0</v>
      </c>
      <c r="H54" s="414">
        <f t="shared" si="0"/>
        <v>0</v>
      </c>
      <c r="I54" s="414"/>
      <c r="J54" s="414">
        <v>0</v>
      </c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>
        <f t="shared" si="1"/>
        <v>0</v>
      </c>
    </row>
    <row r="55" spans="1:26" ht="15" customHeight="1" x14ac:dyDescent="0.25">
      <c r="A55" s="6" t="s">
        <v>1368</v>
      </c>
      <c r="B55" s="483"/>
      <c r="C55" s="6">
        <v>6</v>
      </c>
      <c r="D55" s="414">
        <v>4650</v>
      </c>
      <c r="E55" s="6">
        <v>6</v>
      </c>
      <c r="F55" s="414">
        <v>4650</v>
      </c>
      <c r="G55" s="483">
        <f t="shared" si="0"/>
        <v>0</v>
      </c>
      <c r="H55" s="414">
        <f t="shared" si="0"/>
        <v>0</v>
      </c>
      <c r="I55" s="414"/>
      <c r="J55" s="414">
        <v>0</v>
      </c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>
        <f t="shared" si="1"/>
        <v>0</v>
      </c>
    </row>
    <row r="56" spans="1:26" ht="15" customHeight="1" x14ac:dyDescent="0.25">
      <c r="A56" s="6" t="s">
        <v>1367</v>
      </c>
      <c r="B56" s="483"/>
      <c r="C56" s="6">
        <v>2</v>
      </c>
      <c r="D56" s="414">
        <v>1550</v>
      </c>
      <c r="E56" s="6">
        <v>2</v>
      </c>
      <c r="F56" s="414">
        <v>1550</v>
      </c>
      <c r="G56" s="483">
        <f t="shared" si="0"/>
        <v>0</v>
      </c>
      <c r="H56" s="414">
        <f t="shared" si="0"/>
        <v>0</v>
      </c>
      <c r="I56" s="414"/>
      <c r="J56" s="414">
        <v>0</v>
      </c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>
        <f t="shared" si="1"/>
        <v>0</v>
      </c>
    </row>
    <row r="57" spans="1:26" ht="15" customHeight="1" x14ac:dyDescent="0.25">
      <c r="A57" s="6" t="s">
        <v>1350</v>
      </c>
      <c r="B57" s="483"/>
      <c r="C57" s="9">
        <v>7</v>
      </c>
      <c r="D57" s="414">
        <v>5425</v>
      </c>
      <c r="E57" s="9">
        <v>7</v>
      </c>
      <c r="F57" s="414">
        <v>5425</v>
      </c>
      <c r="G57" s="483">
        <f t="shared" si="0"/>
        <v>0</v>
      </c>
      <c r="H57" s="414">
        <f t="shared" si="0"/>
        <v>0</v>
      </c>
      <c r="I57" s="414"/>
      <c r="J57" s="414">
        <v>0</v>
      </c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>
        <f t="shared" si="1"/>
        <v>0</v>
      </c>
    </row>
    <row r="58" spans="1:26" ht="15" customHeight="1" x14ac:dyDescent="0.25">
      <c r="A58" s="6" t="s">
        <v>1351</v>
      </c>
      <c r="B58" s="483"/>
      <c r="C58" s="9">
        <v>3</v>
      </c>
      <c r="D58" s="414">
        <v>4525</v>
      </c>
      <c r="E58" s="9">
        <v>3</v>
      </c>
      <c r="F58" s="414">
        <v>4525</v>
      </c>
      <c r="G58" s="483">
        <f t="shared" si="0"/>
        <v>0</v>
      </c>
      <c r="H58" s="414">
        <f t="shared" si="0"/>
        <v>0</v>
      </c>
      <c r="I58" s="414"/>
      <c r="J58" s="414">
        <v>0</v>
      </c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>
        <f t="shared" si="1"/>
        <v>0</v>
      </c>
    </row>
    <row r="59" spans="1:26" ht="15" customHeight="1" x14ac:dyDescent="0.25">
      <c r="A59" s="6" t="s">
        <v>1352</v>
      </c>
      <c r="B59" s="483"/>
      <c r="C59" s="9">
        <v>4</v>
      </c>
      <c r="D59" s="414">
        <v>3100</v>
      </c>
      <c r="E59" s="9">
        <v>4</v>
      </c>
      <c r="F59" s="414">
        <v>3100</v>
      </c>
      <c r="G59" s="483">
        <f t="shared" si="0"/>
        <v>0</v>
      </c>
      <c r="H59" s="414">
        <f t="shared" si="0"/>
        <v>0</v>
      </c>
      <c r="I59" s="414"/>
      <c r="J59" s="414">
        <v>0</v>
      </c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>
        <f t="shared" si="1"/>
        <v>0</v>
      </c>
    </row>
    <row r="60" spans="1:26" ht="15" customHeight="1" x14ac:dyDescent="0.25">
      <c r="A60" s="6" t="s">
        <v>213</v>
      </c>
      <c r="B60" s="483"/>
      <c r="C60" s="9">
        <v>7</v>
      </c>
      <c r="D60" s="414">
        <v>8554.5</v>
      </c>
      <c r="E60" s="483">
        <v>7</v>
      </c>
      <c r="F60" s="414">
        <v>9212</v>
      </c>
      <c r="G60" s="483">
        <f t="shared" ref="G60:G75" si="2">E60-C60</f>
        <v>0</v>
      </c>
      <c r="H60" s="414">
        <f t="shared" ref="H60:H75" si="3">F60-D60</f>
        <v>657.5</v>
      </c>
      <c r="I60" s="414"/>
      <c r="J60" s="414">
        <v>3685</v>
      </c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>
        <f t="shared" ref="Z60:Z75" si="4">SUM(K60:Y60)</f>
        <v>0</v>
      </c>
    </row>
    <row r="61" spans="1:26" ht="15" customHeight="1" x14ac:dyDescent="0.25">
      <c r="A61" s="6" t="s">
        <v>5</v>
      </c>
      <c r="B61" s="483"/>
      <c r="C61" s="9">
        <v>10</v>
      </c>
      <c r="D61" s="414">
        <v>11738.2</v>
      </c>
      <c r="E61" s="483">
        <v>11</v>
      </c>
      <c r="F61" s="414">
        <f>18073*0.65</f>
        <v>11747.45</v>
      </c>
      <c r="G61" s="483">
        <f t="shared" si="2"/>
        <v>1</v>
      </c>
      <c r="H61" s="414">
        <f t="shared" si="3"/>
        <v>9.25</v>
      </c>
      <c r="I61" s="414"/>
      <c r="J61" s="414">
        <f>F61*0.4</f>
        <v>4698.9800000000005</v>
      </c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>
        <f t="shared" si="4"/>
        <v>0</v>
      </c>
    </row>
    <row r="62" spans="1:26" ht="15" customHeight="1" x14ac:dyDescent="0.25">
      <c r="A62" s="6" t="s">
        <v>3</v>
      </c>
      <c r="B62" s="483"/>
      <c r="C62" s="9">
        <v>5</v>
      </c>
      <c r="D62" s="414">
        <v>4187.5999999999995</v>
      </c>
      <c r="E62" s="483">
        <v>5</v>
      </c>
      <c r="F62" s="414">
        <f>8215*0.65</f>
        <v>5339.75</v>
      </c>
      <c r="G62" s="483">
        <f t="shared" si="2"/>
        <v>0</v>
      </c>
      <c r="H62" s="414">
        <f t="shared" si="3"/>
        <v>1152.1500000000005</v>
      </c>
      <c r="I62" s="414"/>
      <c r="J62" s="414">
        <f t="shared" ref="J62:J69" si="5">F62*0.4</f>
        <v>2135.9</v>
      </c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>
        <f t="shared" si="4"/>
        <v>0</v>
      </c>
    </row>
    <row r="63" spans="1:26" ht="15" customHeight="1" x14ac:dyDescent="0.25">
      <c r="A63" s="6" t="s">
        <v>339</v>
      </c>
      <c r="B63" s="483"/>
      <c r="C63" s="9">
        <v>10</v>
      </c>
      <c r="D63" s="414">
        <v>15602.800000000001</v>
      </c>
      <c r="E63" s="483">
        <v>11</v>
      </c>
      <c r="F63" s="414">
        <f>18073*0.65</f>
        <v>11747.45</v>
      </c>
      <c r="G63" s="483">
        <f t="shared" si="2"/>
        <v>1</v>
      </c>
      <c r="H63" s="414">
        <f t="shared" si="3"/>
        <v>-3855.3500000000004</v>
      </c>
      <c r="I63" s="414"/>
      <c r="J63" s="414">
        <f t="shared" si="5"/>
        <v>4698.9800000000005</v>
      </c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>
        <f t="shared" si="4"/>
        <v>0</v>
      </c>
    </row>
    <row r="64" spans="1:26" ht="15" customHeight="1" x14ac:dyDescent="0.25">
      <c r="A64" s="6" t="s">
        <v>1365</v>
      </c>
      <c r="B64" s="483"/>
      <c r="C64" s="9">
        <v>6</v>
      </c>
      <c r="D64" s="414">
        <v>6075</v>
      </c>
      <c r="E64" s="483">
        <v>6</v>
      </c>
      <c r="F64" s="414">
        <f>9858*0.65</f>
        <v>6407.7</v>
      </c>
      <c r="G64" s="483">
        <f t="shared" si="2"/>
        <v>0</v>
      </c>
      <c r="H64" s="414">
        <f t="shared" si="3"/>
        <v>332.69999999999982</v>
      </c>
      <c r="I64" s="414"/>
      <c r="J64" s="414">
        <f t="shared" si="5"/>
        <v>2563.08</v>
      </c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>
        <f t="shared" si="4"/>
        <v>0</v>
      </c>
    </row>
    <row r="65" spans="1:26" ht="15" customHeight="1" x14ac:dyDescent="0.25">
      <c r="A65" s="6" t="s">
        <v>6</v>
      </c>
      <c r="B65" s="483"/>
      <c r="C65" s="9">
        <v>7</v>
      </c>
      <c r="D65" s="414">
        <v>8295.4</v>
      </c>
      <c r="E65" s="483">
        <v>7</v>
      </c>
      <c r="F65" s="414">
        <f>11501*0.65</f>
        <v>7475.6500000000005</v>
      </c>
      <c r="G65" s="483">
        <f t="shared" si="2"/>
        <v>0</v>
      </c>
      <c r="H65" s="414">
        <f t="shared" si="3"/>
        <v>-819.74999999999909</v>
      </c>
      <c r="I65" s="414"/>
      <c r="J65" s="414">
        <f t="shared" si="5"/>
        <v>2990.26</v>
      </c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>
        <f t="shared" si="4"/>
        <v>0</v>
      </c>
    </row>
    <row r="66" spans="1:26" ht="15" customHeight="1" x14ac:dyDescent="0.25">
      <c r="A66" s="6" t="s">
        <v>63</v>
      </c>
      <c r="B66" s="483"/>
      <c r="C66" s="9">
        <v>8</v>
      </c>
      <c r="D66" s="414">
        <v>10263.800000000001</v>
      </c>
      <c r="E66" s="483">
        <v>9</v>
      </c>
      <c r="F66" s="414">
        <f>14787*0.65</f>
        <v>9611.5500000000011</v>
      </c>
      <c r="G66" s="483">
        <f t="shared" si="2"/>
        <v>1</v>
      </c>
      <c r="H66" s="414">
        <f t="shared" si="3"/>
        <v>-652.25</v>
      </c>
      <c r="I66" s="414"/>
      <c r="J66" s="414">
        <f t="shared" si="5"/>
        <v>3844.6200000000008</v>
      </c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>
        <f t="shared" si="4"/>
        <v>0</v>
      </c>
    </row>
    <row r="67" spans="1:26" ht="15" customHeight="1" x14ac:dyDescent="0.25">
      <c r="A67" s="6" t="s">
        <v>220</v>
      </c>
      <c r="B67" s="483"/>
      <c r="C67" s="9">
        <v>6</v>
      </c>
      <c r="D67" s="414">
        <v>6927.1</v>
      </c>
      <c r="E67" s="483">
        <v>7</v>
      </c>
      <c r="F67" s="414">
        <f>11501*0.65</f>
        <v>7475.6500000000005</v>
      </c>
      <c r="G67" s="483">
        <f t="shared" si="2"/>
        <v>1</v>
      </c>
      <c r="H67" s="414">
        <f t="shared" si="3"/>
        <v>548.55000000000018</v>
      </c>
      <c r="I67" s="414"/>
      <c r="J67" s="414">
        <f t="shared" si="5"/>
        <v>2990.26</v>
      </c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>
        <f t="shared" si="4"/>
        <v>0</v>
      </c>
    </row>
    <row r="68" spans="1:26" ht="15" customHeight="1" x14ac:dyDescent="0.25">
      <c r="A68" s="6" t="s">
        <v>4</v>
      </c>
      <c r="B68" s="483"/>
      <c r="C68" s="9">
        <v>10</v>
      </c>
      <c r="D68" s="414">
        <v>12479.2</v>
      </c>
      <c r="E68" s="483">
        <v>11</v>
      </c>
      <c r="F68" s="414">
        <f>18073*0.65</f>
        <v>11747.45</v>
      </c>
      <c r="G68" s="483">
        <f t="shared" si="2"/>
        <v>1</v>
      </c>
      <c r="H68" s="414">
        <f t="shared" si="3"/>
        <v>-731.75</v>
      </c>
      <c r="I68" s="414"/>
      <c r="J68" s="414">
        <f t="shared" si="5"/>
        <v>4698.9800000000005</v>
      </c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>
        <f t="shared" si="4"/>
        <v>0</v>
      </c>
    </row>
    <row r="69" spans="1:26" ht="15" customHeight="1" x14ac:dyDescent="0.25">
      <c r="A69" s="6" t="s">
        <v>340</v>
      </c>
      <c r="B69" s="483"/>
      <c r="C69" s="9">
        <v>7</v>
      </c>
      <c r="D69" s="414">
        <v>7554.4</v>
      </c>
      <c r="E69" s="483">
        <v>7</v>
      </c>
      <c r="F69" s="414">
        <f>11501*0.65</f>
        <v>7475.6500000000005</v>
      </c>
      <c r="G69" s="483">
        <f t="shared" si="2"/>
        <v>0</v>
      </c>
      <c r="H69" s="414">
        <f t="shared" si="3"/>
        <v>-78.749999999999091</v>
      </c>
      <c r="I69" s="414"/>
      <c r="J69" s="414">
        <f t="shared" si="5"/>
        <v>2990.26</v>
      </c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>
        <f t="shared" si="4"/>
        <v>0</v>
      </c>
    </row>
    <row r="70" spans="1:26" ht="15" customHeight="1" x14ac:dyDescent="0.25">
      <c r="A70" s="6" t="s">
        <v>242</v>
      </c>
      <c r="B70" s="483"/>
      <c r="C70" s="9">
        <v>9</v>
      </c>
      <c r="D70" s="414">
        <v>14973</v>
      </c>
      <c r="E70" s="483">
        <v>9</v>
      </c>
      <c r="F70" s="414">
        <v>14877</v>
      </c>
      <c r="G70" s="483">
        <f t="shared" si="2"/>
        <v>0</v>
      </c>
      <c r="H70" s="414">
        <f t="shared" si="3"/>
        <v>-96</v>
      </c>
      <c r="I70" s="414"/>
      <c r="J70" s="414">
        <v>4000</v>
      </c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>
        <f t="shared" si="4"/>
        <v>0</v>
      </c>
    </row>
    <row r="71" spans="1:26" ht="15" customHeight="1" x14ac:dyDescent="0.25">
      <c r="A71" s="6" t="s">
        <v>261</v>
      </c>
      <c r="B71" s="483"/>
      <c r="C71" s="9">
        <v>6</v>
      </c>
      <c r="D71" s="414">
        <v>10989</v>
      </c>
      <c r="E71" s="483">
        <v>7</v>
      </c>
      <c r="F71" s="414">
        <v>11501</v>
      </c>
      <c r="G71" s="483">
        <f t="shared" si="2"/>
        <v>1</v>
      </c>
      <c r="H71" s="414">
        <f t="shared" si="3"/>
        <v>512</v>
      </c>
      <c r="I71" s="414"/>
      <c r="J71" s="414">
        <v>4600</v>
      </c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>
        <f t="shared" si="4"/>
        <v>0</v>
      </c>
    </row>
    <row r="72" spans="1:26" ht="15" customHeight="1" x14ac:dyDescent="0.25">
      <c r="A72" s="23" t="s">
        <v>219</v>
      </c>
      <c r="B72" s="483"/>
      <c r="C72" s="9">
        <v>7</v>
      </c>
      <c r="D72" s="414">
        <v>12328.5</v>
      </c>
      <c r="E72" s="483">
        <v>7</v>
      </c>
      <c r="F72" s="414">
        <v>12218</v>
      </c>
      <c r="G72" s="483">
        <f t="shared" si="2"/>
        <v>0</v>
      </c>
      <c r="H72" s="414">
        <f t="shared" si="3"/>
        <v>-110.5</v>
      </c>
      <c r="I72" s="414"/>
      <c r="J72" s="414">
        <v>4000</v>
      </c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>
        <f t="shared" si="4"/>
        <v>0</v>
      </c>
    </row>
    <row r="73" spans="1:26" ht="15" customHeight="1" x14ac:dyDescent="0.25">
      <c r="A73" s="6" t="s">
        <v>173</v>
      </c>
      <c r="B73" s="483"/>
      <c r="C73" s="9">
        <v>5</v>
      </c>
      <c r="D73" s="414">
        <v>7975</v>
      </c>
      <c r="E73" s="483">
        <v>5</v>
      </c>
      <c r="F73" s="414">
        <v>8215</v>
      </c>
      <c r="G73" s="483">
        <f t="shared" si="2"/>
        <v>0</v>
      </c>
      <c r="H73" s="414">
        <f t="shared" si="3"/>
        <v>240</v>
      </c>
      <c r="I73" s="414"/>
      <c r="J73" s="414">
        <v>3286</v>
      </c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>
        <f t="shared" si="4"/>
        <v>0</v>
      </c>
    </row>
    <row r="74" spans="1:26" ht="15" customHeight="1" x14ac:dyDescent="0.25">
      <c r="A74" s="526" t="s">
        <v>297</v>
      </c>
      <c r="B74" s="524"/>
      <c r="C74" s="523">
        <v>9</v>
      </c>
      <c r="D74" s="477">
        <v>16555</v>
      </c>
      <c r="E74" s="483">
        <v>9</v>
      </c>
      <c r="F74" s="414">
        <v>16555</v>
      </c>
      <c r="G74" s="483">
        <f t="shared" si="2"/>
        <v>0</v>
      </c>
      <c r="H74" s="414">
        <f t="shared" si="3"/>
        <v>0</v>
      </c>
      <c r="I74" s="414"/>
      <c r="J74" s="414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>
        <f t="shared" si="4"/>
        <v>0</v>
      </c>
    </row>
    <row r="75" spans="1:26" ht="15" customHeight="1" x14ac:dyDescent="0.25">
      <c r="A75" s="6" t="s">
        <v>181</v>
      </c>
      <c r="B75" s="483"/>
      <c r="C75" s="9">
        <v>11</v>
      </c>
      <c r="D75" s="414">
        <v>17545</v>
      </c>
      <c r="E75" s="483">
        <v>12</v>
      </c>
      <c r="F75" s="414">
        <f>4929+14787</f>
        <v>19716</v>
      </c>
      <c r="G75" s="483">
        <f t="shared" si="2"/>
        <v>1</v>
      </c>
      <c r="H75" s="414">
        <f t="shared" si="3"/>
        <v>2171</v>
      </c>
      <c r="I75" s="414"/>
      <c r="J75" s="414">
        <f>1972+5915</f>
        <v>7887</v>
      </c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>
        <f t="shared" si="4"/>
        <v>0</v>
      </c>
    </row>
    <row r="76" spans="1:26" ht="15" customHeight="1" x14ac:dyDescent="0.25">
      <c r="A76" s="22" t="s">
        <v>217</v>
      </c>
      <c r="B76" s="483"/>
      <c r="C76" s="9">
        <v>1</v>
      </c>
      <c r="D76" s="414">
        <v>1595</v>
      </c>
      <c r="E76" s="483">
        <v>1</v>
      </c>
      <c r="F76" s="414">
        <v>1643</v>
      </c>
      <c r="G76" s="483">
        <f t="shared" si="0"/>
        <v>0</v>
      </c>
      <c r="H76" s="414">
        <f t="shared" si="0"/>
        <v>48</v>
      </c>
      <c r="I76" s="414"/>
      <c r="J76" s="414">
        <v>657</v>
      </c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>
        <f t="shared" si="1"/>
        <v>0</v>
      </c>
    </row>
    <row r="77" spans="1:26" ht="15" customHeight="1" x14ac:dyDescent="0.25">
      <c r="A77" s="6" t="s">
        <v>17</v>
      </c>
      <c r="B77" s="483"/>
      <c r="C77" s="9">
        <v>7</v>
      </c>
      <c r="D77" s="414">
        <v>10850</v>
      </c>
      <c r="E77" s="483">
        <v>7</v>
      </c>
      <c r="F77" s="414">
        <v>11501</v>
      </c>
      <c r="G77" s="483">
        <f t="shared" si="0"/>
        <v>0</v>
      </c>
      <c r="H77" s="414">
        <f t="shared" si="0"/>
        <v>651</v>
      </c>
      <c r="I77" s="414"/>
      <c r="J77" s="414">
        <v>4600</v>
      </c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>
        <f t="shared" si="1"/>
        <v>0</v>
      </c>
    </row>
    <row r="78" spans="1:26" ht="15" customHeight="1" x14ac:dyDescent="0.25">
      <c r="A78" s="6" t="s">
        <v>318</v>
      </c>
      <c r="B78" s="483"/>
      <c r="C78" s="9">
        <v>8</v>
      </c>
      <c r="D78" s="414">
        <v>14289.5</v>
      </c>
      <c r="E78" s="483">
        <v>8</v>
      </c>
      <c r="F78" s="414">
        <v>15173</v>
      </c>
      <c r="G78" s="483">
        <f t="shared" si="0"/>
        <v>0</v>
      </c>
      <c r="H78" s="414">
        <f t="shared" si="0"/>
        <v>883.5</v>
      </c>
      <c r="I78" s="414"/>
      <c r="J78" s="414">
        <v>4000</v>
      </c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>
        <f t="shared" si="1"/>
        <v>0</v>
      </c>
    </row>
    <row r="79" spans="1:26" ht="15" customHeight="1" x14ac:dyDescent="0.25">
      <c r="A79" s="6" t="s">
        <v>303</v>
      </c>
      <c r="B79" s="483"/>
      <c r="C79" s="9">
        <v>10</v>
      </c>
      <c r="D79" s="414">
        <v>19449</v>
      </c>
      <c r="E79" s="483">
        <v>10</v>
      </c>
      <c r="F79" s="414">
        <v>19449</v>
      </c>
      <c r="G79" s="483">
        <f t="shared" si="0"/>
        <v>0</v>
      </c>
      <c r="H79" s="414">
        <f t="shared" si="0"/>
        <v>0</v>
      </c>
      <c r="I79" s="414"/>
      <c r="J79" s="414">
        <v>4000</v>
      </c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>
        <f t="shared" si="1"/>
        <v>0</v>
      </c>
    </row>
    <row r="80" spans="1:26" ht="15" customHeight="1" x14ac:dyDescent="0.25">
      <c r="A80" s="484"/>
      <c r="B80" s="483"/>
      <c r="C80" s="483"/>
      <c r="D80" s="414"/>
      <c r="E80" s="483"/>
      <c r="F80" s="414"/>
      <c r="G80" s="483">
        <f t="shared" si="0"/>
        <v>0</v>
      </c>
      <c r="H80" s="414">
        <f t="shared" si="0"/>
        <v>0</v>
      </c>
      <c r="I80" s="414"/>
      <c r="J80" s="414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>
        <f t="shared" si="1"/>
        <v>0</v>
      </c>
    </row>
    <row r="81" spans="1:26" ht="15" customHeight="1" x14ac:dyDescent="0.25">
      <c r="A81" s="483"/>
      <c r="B81" s="483"/>
      <c r="C81" s="483"/>
      <c r="D81" s="414"/>
      <c r="E81" s="483"/>
      <c r="F81" s="414"/>
      <c r="G81" s="483">
        <f t="shared" si="0"/>
        <v>0</v>
      </c>
      <c r="H81" s="414">
        <f t="shared" si="0"/>
        <v>0</v>
      </c>
      <c r="I81" s="414"/>
      <c r="J81" s="414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>
        <f t="shared" si="1"/>
        <v>0</v>
      </c>
    </row>
    <row r="82" spans="1:26" ht="15" customHeight="1" x14ac:dyDescent="0.25">
      <c r="A82" s="483"/>
      <c r="B82" s="483"/>
      <c r="C82" s="483"/>
      <c r="D82" s="414"/>
      <c r="E82" s="483"/>
      <c r="F82" s="414"/>
      <c r="G82" s="483">
        <f t="shared" si="0"/>
        <v>0</v>
      </c>
      <c r="H82" s="414">
        <f t="shared" si="0"/>
        <v>0</v>
      </c>
      <c r="I82" s="414"/>
      <c r="J82" s="414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>
        <f t="shared" si="1"/>
        <v>0</v>
      </c>
    </row>
    <row r="83" spans="1:26" ht="15" customHeight="1" x14ac:dyDescent="0.25">
      <c r="A83" s="483"/>
      <c r="B83" s="483"/>
      <c r="C83" s="483"/>
      <c r="D83" s="414"/>
      <c r="E83" s="483"/>
      <c r="F83" s="414"/>
      <c r="G83" s="483">
        <f t="shared" si="0"/>
        <v>0</v>
      </c>
      <c r="H83" s="414">
        <f t="shared" si="0"/>
        <v>0</v>
      </c>
      <c r="I83" s="414"/>
      <c r="J83" s="414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>
        <f t="shared" si="1"/>
        <v>0</v>
      </c>
    </row>
    <row r="84" spans="1:26" ht="15" customHeight="1" x14ac:dyDescent="0.25">
      <c r="A84" s="443" t="s">
        <v>1221</v>
      </c>
      <c r="B84" s="444"/>
      <c r="C84" s="447">
        <f t="shared" ref="C84:Z84" si="6">SUM(C5:C83)</f>
        <v>444</v>
      </c>
      <c r="D84" s="448">
        <f t="shared" si="6"/>
        <v>558923.5</v>
      </c>
      <c r="E84" s="447">
        <f t="shared" si="6"/>
        <v>455</v>
      </c>
      <c r="F84" s="466">
        <f t="shared" si="6"/>
        <v>572799.30000000005</v>
      </c>
      <c r="G84" s="447">
        <f t="shared" si="6"/>
        <v>11</v>
      </c>
      <c r="H84" s="466">
        <f t="shared" si="6"/>
        <v>13875.8</v>
      </c>
      <c r="I84" s="448">
        <f t="shared" ref="I84:J84" si="7">SUM(I5:I83)</f>
        <v>0</v>
      </c>
      <c r="J84" s="448">
        <f t="shared" si="7"/>
        <v>188990.32</v>
      </c>
      <c r="K84" s="447">
        <f t="shared" si="6"/>
        <v>0</v>
      </c>
      <c r="L84" s="447">
        <f t="shared" ref="L84" si="8">SUM(L5:L83)</f>
        <v>0</v>
      </c>
      <c r="M84" s="447">
        <f t="shared" si="6"/>
        <v>0</v>
      </c>
      <c r="N84" s="447">
        <f t="shared" si="6"/>
        <v>0</v>
      </c>
      <c r="O84" s="447">
        <f t="shared" si="6"/>
        <v>0</v>
      </c>
      <c r="P84" s="447">
        <f t="shared" si="6"/>
        <v>0</v>
      </c>
      <c r="Q84" s="447">
        <f t="shared" si="6"/>
        <v>0</v>
      </c>
      <c r="R84" s="447">
        <f t="shared" si="6"/>
        <v>0</v>
      </c>
      <c r="S84" s="447">
        <f t="shared" si="6"/>
        <v>0</v>
      </c>
      <c r="T84" s="447">
        <f t="shared" si="6"/>
        <v>0</v>
      </c>
      <c r="U84" s="447">
        <f t="shared" si="6"/>
        <v>0</v>
      </c>
      <c r="V84" s="447">
        <f t="shared" si="6"/>
        <v>0</v>
      </c>
      <c r="W84" s="447">
        <f t="shared" si="6"/>
        <v>0</v>
      </c>
      <c r="X84" s="447">
        <f t="shared" si="6"/>
        <v>0</v>
      </c>
      <c r="Y84" s="447">
        <f t="shared" si="6"/>
        <v>0</v>
      </c>
      <c r="Z84" s="447">
        <f t="shared" si="6"/>
        <v>0</v>
      </c>
    </row>
    <row r="86" spans="1:26" x14ac:dyDescent="0.25">
      <c r="A86" s="739" t="s">
        <v>1227</v>
      </c>
      <c r="B86" s="739"/>
    </row>
    <row r="87" spans="1:26" ht="30" x14ac:dyDescent="0.25">
      <c r="A87" s="519" t="s">
        <v>1</v>
      </c>
      <c r="B87" s="519"/>
      <c r="C87" s="425" t="s">
        <v>1222</v>
      </c>
      <c r="D87" s="425" t="s">
        <v>1223</v>
      </c>
      <c r="E87" s="425" t="s">
        <v>392</v>
      </c>
      <c r="F87" s="426" t="s">
        <v>2</v>
      </c>
      <c r="G87" s="432" t="s">
        <v>1225</v>
      </c>
      <c r="H87" s="427" t="s">
        <v>1224</v>
      </c>
      <c r="I87" s="427" t="s">
        <v>1498</v>
      </c>
      <c r="J87" s="427" t="s">
        <v>94</v>
      </c>
      <c r="K87" s="424" t="s">
        <v>681</v>
      </c>
      <c r="L87" s="424" t="s">
        <v>1496</v>
      </c>
      <c r="M87" s="424" t="s">
        <v>1497</v>
      </c>
      <c r="N87" s="424" t="s">
        <v>682</v>
      </c>
      <c r="O87" s="424" t="s">
        <v>683</v>
      </c>
      <c r="P87" s="424" t="s">
        <v>87</v>
      </c>
      <c r="Q87" s="424" t="s">
        <v>684</v>
      </c>
      <c r="R87" s="424" t="s">
        <v>685</v>
      </c>
      <c r="S87" s="424" t="s">
        <v>690</v>
      </c>
      <c r="T87" s="424" t="s">
        <v>686</v>
      </c>
      <c r="U87" s="424" t="s">
        <v>687</v>
      </c>
      <c r="V87" s="424" t="s">
        <v>688</v>
      </c>
      <c r="W87" s="424" t="s">
        <v>689</v>
      </c>
      <c r="X87" s="424" t="s">
        <v>138</v>
      </c>
      <c r="Y87" s="424" t="s">
        <v>1385</v>
      </c>
      <c r="Z87" s="424" t="s">
        <v>1238</v>
      </c>
    </row>
    <row r="88" spans="1:26" ht="15" customHeight="1" x14ac:dyDescent="0.25">
      <c r="A88" s="527" t="s">
        <v>1492</v>
      </c>
      <c r="B88" s="483" t="s">
        <v>60</v>
      </c>
      <c r="C88" s="487">
        <v>42313</v>
      </c>
      <c r="D88" s="488">
        <v>42376</v>
      </c>
      <c r="E88" s="486">
        <v>62</v>
      </c>
      <c r="F88" s="488">
        <v>42376</v>
      </c>
      <c r="G88" s="486">
        <v>1</v>
      </c>
      <c r="H88" s="485">
        <v>1595</v>
      </c>
      <c r="I88" s="485">
        <v>2500</v>
      </c>
      <c r="J88" s="485">
        <f>H88*0.4</f>
        <v>638</v>
      </c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>
        <v>1</v>
      </c>
      <c r="W88" s="483"/>
      <c r="X88" s="483"/>
      <c r="Y88" s="483"/>
      <c r="Z88" s="483">
        <f>SUM(K88:Y88)</f>
        <v>1</v>
      </c>
    </row>
    <row r="89" spans="1:26" ht="15" customHeight="1" x14ac:dyDescent="0.25">
      <c r="A89" s="484" t="s">
        <v>1501</v>
      </c>
      <c r="B89" s="483" t="s">
        <v>60</v>
      </c>
      <c r="C89" s="487">
        <v>42073</v>
      </c>
      <c r="D89" s="488">
        <v>42383</v>
      </c>
      <c r="E89" s="486">
        <v>30</v>
      </c>
      <c r="F89" s="488">
        <v>42383</v>
      </c>
      <c r="G89" s="486">
        <v>4</v>
      </c>
      <c r="H89" s="485">
        <v>6380</v>
      </c>
      <c r="I89" s="485">
        <v>5000</v>
      </c>
      <c r="J89" s="485">
        <v>2552</v>
      </c>
      <c r="K89" s="483">
        <v>1</v>
      </c>
      <c r="L89" s="483"/>
      <c r="M89" s="483"/>
      <c r="N89" s="483">
        <v>1</v>
      </c>
      <c r="O89" s="483">
        <v>1</v>
      </c>
      <c r="P89" s="483"/>
      <c r="Q89" s="483"/>
      <c r="R89" s="483"/>
      <c r="S89" s="483"/>
      <c r="T89" s="483"/>
      <c r="U89" s="483"/>
      <c r="V89" s="483">
        <v>1</v>
      </c>
      <c r="W89" s="483"/>
      <c r="X89" s="483"/>
      <c r="Y89" s="483"/>
      <c r="Z89" s="483">
        <f>SUM(K89:Y89)</f>
        <v>4</v>
      </c>
    </row>
    <row r="90" spans="1:26" ht="15" customHeight="1" x14ac:dyDescent="0.25">
      <c r="A90" s="484" t="s">
        <v>1489</v>
      </c>
      <c r="B90" s="483" t="s">
        <v>1293</v>
      </c>
      <c r="C90" s="487">
        <v>42354</v>
      </c>
      <c r="D90" s="488">
        <v>42377</v>
      </c>
      <c r="E90" s="486">
        <v>22</v>
      </c>
      <c r="F90" s="488">
        <v>42384</v>
      </c>
      <c r="G90" s="486">
        <v>2</v>
      </c>
      <c r="H90" s="485">
        <v>3286</v>
      </c>
      <c r="I90" s="485">
        <v>0</v>
      </c>
      <c r="J90" s="485">
        <v>1314</v>
      </c>
      <c r="K90" s="483">
        <v>1</v>
      </c>
      <c r="L90" s="483"/>
      <c r="M90" s="483"/>
      <c r="N90" s="483"/>
      <c r="O90" s="483"/>
      <c r="P90" s="483">
        <v>1</v>
      </c>
      <c r="Q90" s="483"/>
      <c r="R90" s="483"/>
      <c r="S90" s="483"/>
      <c r="T90" s="483"/>
      <c r="U90" s="483"/>
      <c r="V90" s="483"/>
      <c r="W90" s="483"/>
      <c r="X90" s="483"/>
      <c r="Y90" s="483"/>
      <c r="Z90" s="483">
        <f>SUM(K90:Y90)</f>
        <v>2</v>
      </c>
    </row>
    <row r="91" spans="1:26" x14ac:dyDescent="0.25">
      <c r="A91" s="484" t="s">
        <v>1507</v>
      </c>
      <c r="B91" s="483" t="s">
        <v>115</v>
      </c>
      <c r="C91" s="487">
        <v>42100</v>
      </c>
      <c r="D91" s="488">
        <v>42403</v>
      </c>
      <c r="E91" s="486">
        <v>303</v>
      </c>
      <c r="F91" s="488">
        <v>42389</v>
      </c>
      <c r="G91" s="486">
        <v>2</v>
      </c>
      <c r="H91" s="485">
        <v>3190</v>
      </c>
      <c r="I91" s="485">
        <v>5000</v>
      </c>
      <c r="J91" s="485">
        <v>1276</v>
      </c>
      <c r="K91" s="483"/>
      <c r="L91" s="483">
        <v>1</v>
      </c>
      <c r="M91" s="483"/>
      <c r="N91" s="483"/>
      <c r="O91" s="483"/>
      <c r="P91" s="483"/>
      <c r="Q91" s="483">
        <v>1</v>
      </c>
      <c r="R91" s="483"/>
      <c r="S91" s="483"/>
      <c r="T91" s="483"/>
      <c r="U91" s="483"/>
      <c r="V91" s="483"/>
      <c r="W91" s="483"/>
      <c r="X91" s="483"/>
      <c r="Y91" s="483"/>
      <c r="Z91" s="483"/>
    </row>
    <row r="92" spans="1:26" ht="15" customHeight="1" x14ac:dyDescent="0.25">
      <c r="A92" s="484"/>
      <c r="B92" s="483"/>
      <c r="C92" s="487"/>
      <c r="D92" s="488"/>
      <c r="E92" s="486"/>
      <c r="F92" s="488"/>
      <c r="G92" s="486"/>
      <c r="H92" s="485"/>
      <c r="I92" s="485"/>
      <c r="J92" s="485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</row>
    <row r="93" spans="1:26" ht="15" customHeight="1" x14ac:dyDescent="0.25">
      <c r="A93" s="484"/>
      <c r="B93" s="483"/>
      <c r="C93" s="487"/>
      <c r="D93" s="488"/>
      <c r="E93" s="486"/>
      <c r="F93" s="488"/>
      <c r="G93" s="486"/>
      <c r="H93" s="485"/>
      <c r="I93" s="485"/>
      <c r="J93" s="485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>
        <f>SUM(K93:Y93)</f>
        <v>0</v>
      </c>
    </row>
    <row r="94" spans="1:26" ht="15" customHeight="1" x14ac:dyDescent="0.25">
      <c r="A94" s="484"/>
      <c r="B94" s="483"/>
      <c r="C94" s="487"/>
      <c r="D94" s="488"/>
      <c r="E94" s="486"/>
      <c r="F94" s="488"/>
      <c r="G94" s="486"/>
      <c r="H94" s="485"/>
      <c r="I94" s="456"/>
      <c r="J94" s="456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>
        <f>SUM(K94:Y94)</f>
        <v>0</v>
      </c>
    </row>
    <row r="95" spans="1:26" ht="15" customHeight="1" x14ac:dyDescent="0.25">
      <c r="A95" s="484"/>
      <c r="B95" s="483"/>
      <c r="C95" s="487"/>
      <c r="D95" s="488"/>
      <c r="E95" s="486"/>
      <c r="F95" s="488"/>
      <c r="G95" s="486"/>
      <c r="H95" s="485"/>
      <c r="I95" s="456"/>
      <c r="J95" s="456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>
        <f t="shared" ref="Z95" si="9">SUM(K95:Y95)</f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SUM(G94:G95)</f>
        <v>0</v>
      </c>
      <c r="H96" s="448">
        <f>SUM(H88:H95)</f>
        <v>14451</v>
      </c>
      <c r="I96" s="448">
        <f>SUM(I88:I95)</f>
        <v>12500</v>
      </c>
      <c r="J96" s="448">
        <f>SUM(J88:J95)</f>
        <v>5780</v>
      </c>
      <c r="K96" s="447">
        <f t="shared" ref="K96:Z96" si="10">SUM(K94:K95)</f>
        <v>0</v>
      </c>
      <c r="L96" s="447">
        <f t="shared" ref="L96" si="11">SUM(L94:L95)</f>
        <v>0</v>
      </c>
      <c r="M96" s="447">
        <f t="shared" si="10"/>
        <v>0</v>
      </c>
      <c r="N96" s="447">
        <f t="shared" si="10"/>
        <v>0</v>
      </c>
      <c r="O96" s="447">
        <f t="shared" si="10"/>
        <v>0</v>
      </c>
      <c r="P96" s="447">
        <f t="shared" si="10"/>
        <v>0</v>
      </c>
      <c r="Q96" s="447">
        <f t="shared" si="10"/>
        <v>0</v>
      </c>
      <c r="R96" s="447">
        <f t="shared" si="10"/>
        <v>0</v>
      </c>
      <c r="S96" s="447">
        <f t="shared" si="10"/>
        <v>0</v>
      </c>
      <c r="T96" s="447">
        <f t="shared" si="10"/>
        <v>0</v>
      </c>
      <c r="U96" s="447">
        <f t="shared" si="10"/>
        <v>0</v>
      </c>
      <c r="V96" s="447">
        <f t="shared" si="10"/>
        <v>0</v>
      </c>
      <c r="W96" s="447">
        <f t="shared" si="10"/>
        <v>0</v>
      </c>
      <c r="X96" s="447"/>
      <c r="Y96" s="447"/>
      <c r="Z96" s="447">
        <f t="shared" si="10"/>
        <v>0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19" t="s">
        <v>1</v>
      </c>
      <c r="B99" s="519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484" t="s">
        <v>1425</v>
      </c>
      <c r="B100" s="24" t="s">
        <v>1293</v>
      </c>
      <c r="C100" s="430">
        <v>42312</v>
      </c>
      <c r="D100" s="431">
        <v>42332</v>
      </c>
      <c r="E100" s="421">
        <v>20</v>
      </c>
      <c r="F100" s="431">
        <v>42370</v>
      </c>
      <c r="G100" s="421">
        <v>1</v>
      </c>
      <c r="H100" s="28">
        <v>1595</v>
      </c>
      <c r="I100" s="456"/>
      <c r="J100" s="456">
        <f t="shared" ref="J100" si="12">H100*0.4</f>
        <v>638</v>
      </c>
      <c r="K100" s="24"/>
      <c r="L100" s="483"/>
      <c r="M100" s="24"/>
      <c r="N100" s="24"/>
      <c r="O100" s="24"/>
      <c r="P100" s="24"/>
      <c r="Q100" s="24"/>
      <c r="R100" s="24"/>
      <c r="S100" s="24"/>
      <c r="T100" s="24"/>
      <c r="U100" s="24"/>
      <c r="V100" s="24">
        <v>1</v>
      </c>
      <c r="W100" s="24"/>
      <c r="X100" s="483"/>
      <c r="Y100" s="483"/>
      <c r="Z100" s="483">
        <f t="shared" ref="Z100:Z107" si="13">SUM(K100:Y100)</f>
        <v>1</v>
      </c>
    </row>
    <row r="101" spans="1:26" s="457" customFormat="1" ht="15" customHeight="1" x14ac:dyDescent="0.25">
      <c r="A101" s="484" t="s">
        <v>1452</v>
      </c>
      <c r="B101" s="452" t="s">
        <v>1293</v>
      </c>
      <c r="C101" s="453">
        <v>42324</v>
      </c>
      <c r="D101" s="454">
        <v>42341</v>
      </c>
      <c r="E101" s="455">
        <f t="shared" ref="E101:E106" si="14">D101-C101</f>
        <v>17</v>
      </c>
      <c r="F101" s="454">
        <v>42370</v>
      </c>
      <c r="G101" s="455">
        <v>2</v>
      </c>
      <c r="H101" s="456">
        <v>1558</v>
      </c>
      <c r="I101" s="456"/>
      <c r="J101" s="456">
        <v>622</v>
      </c>
      <c r="K101" s="452"/>
      <c r="L101" s="452"/>
      <c r="M101" s="452"/>
      <c r="N101" s="452"/>
      <c r="O101" s="452"/>
      <c r="P101" s="452"/>
      <c r="Q101" s="452"/>
      <c r="R101" s="452">
        <v>2</v>
      </c>
      <c r="S101" s="452"/>
      <c r="T101" s="452"/>
      <c r="U101" s="452"/>
      <c r="V101" s="452"/>
      <c r="W101" s="452"/>
      <c r="X101" s="452"/>
      <c r="Y101" s="452"/>
      <c r="Z101" s="483">
        <f t="shared" si="13"/>
        <v>2</v>
      </c>
    </row>
    <row r="102" spans="1:26" s="457" customFormat="1" ht="15" customHeight="1" x14ac:dyDescent="0.25">
      <c r="A102" s="484" t="s">
        <v>1144</v>
      </c>
      <c r="B102" s="452" t="s">
        <v>115</v>
      </c>
      <c r="C102" s="453">
        <v>42356</v>
      </c>
      <c r="D102" s="454">
        <v>42366</v>
      </c>
      <c r="E102" s="455">
        <f t="shared" si="14"/>
        <v>10</v>
      </c>
      <c r="F102" s="454">
        <v>42370</v>
      </c>
      <c r="G102" s="455">
        <v>2</v>
      </c>
      <c r="H102" s="456">
        <v>3190</v>
      </c>
      <c r="I102" s="456"/>
      <c r="J102" s="456">
        <f t="shared" ref="J102:J103" si="15">H102*0.4</f>
        <v>1276</v>
      </c>
      <c r="K102" s="452"/>
      <c r="L102" s="452">
        <v>1</v>
      </c>
      <c r="M102" s="452">
        <v>1</v>
      </c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83">
        <f t="shared" si="13"/>
        <v>2</v>
      </c>
    </row>
    <row r="103" spans="1:26" s="457" customFormat="1" ht="15" customHeight="1" x14ac:dyDescent="0.25">
      <c r="A103" s="489" t="s">
        <v>1490</v>
      </c>
      <c r="B103" s="452" t="s">
        <v>115</v>
      </c>
      <c r="C103" s="453">
        <v>42340</v>
      </c>
      <c r="D103" s="454">
        <v>42375</v>
      </c>
      <c r="E103" s="455">
        <f t="shared" si="14"/>
        <v>35</v>
      </c>
      <c r="F103" s="454">
        <v>42370</v>
      </c>
      <c r="G103" s="455">
        <v>1</v>
      </c>
      <c r="H103" s="456">
        <v>1550</v>
      </c>
      <c r="I103" s="456"/>
      <c r="J103" s="456">
        <f t="shared" si="15"/>
        <v>620</v>
      </c>
      <c r="K103" s="452"/>
      <c r="L103" s="452"/>
      <c r="M103" s="452"/>
      <c r="N103" s="452"/>
      <c r="O103" s="452"/>
      <c r="P103" s="452"/>
      <c r="Q103" s="452"/>
      <c r="R103" s="452"/>
      <c r="S103" s="452">
        <v>1</v>
      </c>
      <c r="T103" s="452"/>
      <c r="U103" s="452"/>
      <c r="V103" s="452"/>
      <c r="W103" s="452"/>
      <c r="X103" s="452"/>
      <c r="Y103" s="452"/>
      <c r="Z103" s="483">
        <f t="shared" si="13"/>
        <v>1</v>
      </c>
    </row>
    <row r="104" spans="1:26" s="457" customFormat="1" ht="15" customHeight="1" x14ac:dyDescent="0.25">
      <c r="A104" s="489" t="s">
        <v>1502</v>
      </c>
      <c r="B104" s="452" t="s">
        <v>60</v>
      </c>
      <c r="C104" s="453"/>
      <c r="D104" s="454"/>
      <c r="E104" s="455">
        <f t="shared" si="14"/>
        <v>0</v>
      </c>
      <c r="F104" s="454">
        <v>42392</v>
      </c>
      <c r="G104" s="455">
        <v>3</v>
      </c>
      <c r="H104" s="456">
        <v>4785</v>
      </c>
      <c r="I104" s="456"/>
      <c r="J104" s="456">
        <v>1914</v>
      </c>
      <c r="K104" s="452"/>
      <c r="L104" s="452"/>
      <c r="M104" s="452"/>
      <c r="N104" s="452"/>
      <c r="O104" s="452"/>
      <c r="P104" s="452">
        <v>1</v>
      </c>
      <c r="Q104" s="452"/>
      <c r="R104" s="452">
        <v>1</v>
      </c>
      <c r="S104" s="452">
        <v>1</v>
      </c>
      <c r="T104" s="452"/>
      <c r="U104" s="452"/>
      <c r="V104" s="452"/>
      <c r="W104" s="452"/>
      <c r="X104" s="452"/>
      <c r="Y104" s="452"/>
      <c r="Z104" s="483">
        <f t="shared" si="13"/>
        <v>3</v>
      </c>
    </row>
    <row r="105" spans="1:26" s="457" customFormat="1" ht="15" customHeight="1" x14ac:dyDescent="0.25">
      <c r="A105" s="484"/>
      <c r="B105" s="452"/>
      <c r="C105" s="453"/>
      <c r="D105" s="454"/>
      <c r="E105" s="455">
        <f t="shared" si="14"/>
        <v>0</v>
      </c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83">
        <f t="shared" si="13"/>
        <v>0</v>
      </c>
    </row>
    <row r="106" spans="1:26" s="457" customFormat="1" ht="15" customHeight="1" x14ac:dyDescent="0.25">
      <c r="A106" s="451"/>
      <c r="B106" s="452"/>
      <c r="C106" s="453"/>
      <c r="D106" s="454"/>
      <c r="E106" s="455">
        <f t="shared" si="14"/>
        <v>0</v>
      </c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83">
        <f t="shared" si="13"/>
        <v>0</v>
      </c>
    </row>
    <row r="107" spans="1:26" s="457" customFormat="1" ht="15" customHeight="1" x14ac:dyDescent="0.25">
      <c r="A107" s="45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83">
        <f t="shared" si="13"/>
        <v>0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16">SUM(G100:G107)</f>
        <v>9</v>
      </c>
      <c r="H108" s="448">
        <f t="shared" si="16"/>
        <v>12678</v>
      </c>
      <c r="I108" s="448">
        <f>SUM(I100:I107)</f>
        <v>0</v>
      </c>
      <c r="J108" s="448">
        <f>SUM(J100:J107)</f>
        <v>5070</v>
      </c>
      <c r="K108" s="447">
        <f t="shared" si="16"/>
        <v>0</v>
      </c>
      <c r="L108" s="447">
        <f t="shared" ref="L108" si="17">SUM(L100:L107)</f>
        <v>1</v>
      </c>
      <c r="M108" s="447">
        <f t="shared" si="16"/>
        <v>1</v>
      </c>
      <c r="N108" s="447">
        <f t="shared" si="16"/>
        <v>0</v>
      </c>
      <c r="O108" s="447">
        <f t="shared" si="16"/>
        <v>0</v>
      </c>
      <c r="P108" s="447">
        <f t="shared" si="16"/>
        <v>1</v>
      </c>
      <c r="Q108" s="447">
        <f t="shared" si="16"/>
        <v>0</v>
      </c>
      <c r="R108" s="447">
        <f t="shared" si="16"/>
        <v>3</v>
      </c>
      <c r="S108" s="447">
        <f t="shared" si="16"/>
        <v>2</v>
      </c>
      <c r="T108" s="447">
        <f t="shared" si="16"/>
        <v>0</v>
      </c>
      <c r="U108" s="447">
        <f t="shared" si="16"/>
        <v>0</v>
      </c>
      <c r="V108" s="447">
        <f t="shared" si="16"/>
        <v>1</v>
      </c>
      <c r="W108" s="447">
        <f t="shared" si="16"/>
        <v>0</v>
      </c>
      <c r="X108" s="447"/>
      <c r="Y108" s="447"/>
      <c r="Z108" s="447">
        <f t="shared" si="16"/>
        <v>9</v>
      </c>
    </row>
    <row r="110" spans="1:26" x14ac:dyDescent="0.25">
      <c r="A110" s="739" t="s">
        <v>1229</v>
      </c>
      <c r="B110" s="739"/>
    </row>
    <row r="111" spans="1:26" ht="30" x14ac:dyDescent="0.25">
      <c r="A111" s="519" t="s">
        <v>1</v>
      </c>
      <c r="B111" s="519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489" t="s">
        <v>1491</v>
      </c>
      <c r="B112" s="452" t="s">
        <v>115</v>
      </c>
      <c r="C112" s="453">
        <v>42340</v>
      </c>
      <c r="D112" s="454">
        <v>42375</v>
      </c>
      <c r="E112" s="455">
        <v>35</v>
      </c>
      <c r="F112" s="454">
        <v>42370</v>
      </c>
      <c r="G112" s="455">
        <v>-1</v>
      </c>
      <c r="H112" s="456">
        <v>-1550</v>
      </c>
      <c r="I112" s="456"/>
      <c r="J112" s="456">
        <f>H112*0.4</f>
        <v>-620</v>
      </c>
      <c r="K112" s="452"/>
      <c r="L112" s="452">
        <v>-1</v>
      </c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83">
        <f t="shared" ref="Z112:Z115" si="18">SUM(K112:Y112)</f>
        <v>-1</v>
      </c>
    </row>
    <row r="113" spans="1:26" ht="15" customHeight="1" x14ac:dyDescent="0.25">
      <c r="A113" s="489"/>
      <c r="B113" s="483"/>
      <c r="C113" s="487"/>
      <c r="D113" s="488"/>
      <c r="E113" s="486"/>
      <c r="F113" s="488"/>
      <c r="G113" s="486"/>
      <c r="H113" s="485"/>
      <c r="I113" s="485"/>
      <c r="J113" s="456"/>
      <c r="K113" s="483"/>
      <c r="L113" s="483"/>
      <c r="M113" s="483"/>
      <c r="N113" s="483"/>
      <c r="O113" s="483"/>
      <c r="P113" s="483"/>
      <c r="Q113" s="483"/>
      <c r="R113" s="483"/>
      <c r="S113" s="483"/>
      <c r="T113" s="483"/>
      <c r="U113" s="483"/>
      <c r="V113" s="483"/>
      <c r="W113" s="483"/>
      <c r="X113" s="483"/>
      <c r="Y113" s="483"/>
      <c r="Z113" s="483"/>
    </row>
    <row r="114" spans="1:26" ht="15" customHeight="1" x14ac:dyDescent="0.25">
      <c r="A114" s="489" t="s">
        <v>1500</v>
      </c>
      <c r="B114" s="483" t="s">
        <v>115</v>
      </c>
      <c r="C114" s="487">
        <v>42303</v>
      </c>
      <c r="D114" s="488">
        <v>42384</v>
      </c>
      <c r="E114" s="486">
        <v>1</v>
      </c>
      <c r="F114" s="488">
        <v>42309</v>
      </c>
      <c r="G114" s="486">
        <v>-1</v>
      </c>
      <c r="H114" s="485">
        <v>-2237</v>
      </c>
      <c r="I114" s="485"/>
      <c r="J114" s="456">
        <v>0</v>
      </c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>
        <v>-1</v>
      </c>
      <c r="W114" s="483"/>
      <c r="X114" s="483"/>
      <c r="Y114" s="483"/>
      <c r="Z114" s="483">
        <f t="shared" ref="Z114" si="19">SUM(K114:Y114)</f>
        <v>-1</v>
      </c>
    </row>
    <row r="115" spans="1:26" ht="15" customHeight="1" x14ac:dyDescent="0.25">
      <c r="A115" s="489" t="s">
        <v>1505</v>
      </c>
      <c r="B115" s="483" t="s">
        <v>1506</v>
      </c>
      <c r="C115" s="487">
        <v>42375</v>
      </c>
      <c r="D115" s="488">
        <v>42391</v>
      </c>
      <c r="E115" s="486">
        <v>16</v>
      </c>
      <c r="F115" s="488">
        <v>42390</v>
      </c>
      <c r="G115" s="486"/>
      <c r="H115" s="485">
        <v>-2200</v>
      </c>
      <c r="I115" s="485"/>
      <c r="J115" s="485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>
        <f t="shared" si="18"/>
        <v>0</v>
      </c>
    </row>
    <row r="116" spans="1:26" ht="15" customHeight="1" x14ac:dyDescent="0.25">
      <c r="A116" s="443" t="s">
        <v>1230</v>
      </c>
      <c r="B116" s="444"/>
      <c r="C116" s="445"/>
      <c r="D116" s="446"/>
      <c r="E116" s="447"/>
      <c r="F116" s="446"/>
      <c r="G116" s="447">
        <f>SUM(G112:G115)</f>
        <v>-2</v>
      </c>
      <c r="H116" s="448">
        <f>SUM(H112:H115)</f>
        <v>-5987</v>
      </c>
      <c r="I116" s="448">
        <f t="shared" ref="I116:J116" si="20">SUM(I112:I115)</f>
        <v>0</v>
      </c>
      <c r="J116" s="448">
        <f t="shared" si="20"/>
        <v>-620</v>
      </c>
      <c r="K116" s="447">
        <f t="shared" ref="K116:Z116" si="21">SUM(K112:K115)</f>
        <v>0</v>
      </c>
      <c r="L116" s="447">
        <f t="shared" ref="L116" si="22">SUM(L112:L115)</f>
        <v>-1</v>
      </c>
      <c r="M116" s="447">
        <f t="shared" si="21"/>
        <v>0</v>
      </c>
      <c r="N116" s="447">
        <f t="shared" si="21"/>
        <v>0</v>
      </c>
      <c r="O116" s="447">
        <f t="shared" si="21"/>
        <v>0</v>
      </c>
      <c r="P116" s="447">
        <f t="shared" si="21"/>
        <v>0</v>
      </c>
      <c r="Q116" s="447">
        <f t="shared" si="21"/>
        <v>0</v>
      </c>
      <c r="R116" s="447">
        <f t="shared" si="21"/>
        <v>0</v>
      </c>
      <c r="S116" s="447">
        <f t="shared" si="21"/>
        <v>0</v>
      </c>
      <c r="T116" s="447">
        <f t="shared" si="21"/>
        <v>0</v>
      </c>
      <c r="U116" s="447">
        <f t="shared" si="21"/>
        <v>0</v>
      </c>
      <c r="V116" s="447">
        <f t="shared" si="21"/>
        <v>-1</v>
      </c>
      <c r="W116" s="447">
        <f t="shared" si="21"/>
        <v>0</v>
      </c>
      <c r="X116" s="447"/>
      <c r="Y116" s="447"/>
      <c r="Z116" s="447">
        <f t="shared" si="21"/>
        <v>-2</v>
      </c>
    </row>
    <row r="118" spans="1:26" x14ac:dyDescent="0.25">
      <c r="A118" s="739" t="s">
        <v>1231</v>
      </c>
      <c r="B118" s="739"/>
    </row>
    <row r="119" spans="1:26" ht="30" x14ac:dyDescent="0.25">
      <c r="A119" s="519" t="s">
        <v>1</v>
      </c>
      <c r="B119" s="519" t="s">
        <v>59</v>
      </c>
      <c r="C119" s="425"/>
      <c r="D119" s="425"/>
      <c r="E119" s="425"/>
      <c r="F119" s="426"/>
      <c r="G119" s="432" t="s">
        <v>1225</v>
      </c>
      <c r="H119" s="427" t="s">
        <v>1224</v>
      </c>
      <c r="I119" s="427" t="s">
        <v>1498</v>
      </c>
      <c r="J119" s="427" t="s">
        <v>94</v>
      </c>
      <c r="K119" s="424" t="s">
        <v>681</v>
      </c>
      <c r="L119" s="424" t="s">
        <v>1496</v>
      </c>
      <c r="M119" s="424" t="s">
        <v>1497</v>
      </c>
      <c r="N119" s="424" t="s">
        <v>682</v>
      </c>
      <c r="O119" s="424" t="s">
        <v>683</v>
      </c>
      <c r="P119" s="424" t="s">
        <v>87</v>
      </c>
      <c r="Q119" s="424" t="s">
        <v>684</v>
      </c>
      <c r="R119" s="424" t="s">
        <v>685</v>
      </c>
      <c r="S119" s="424" t="s">
        <v>690</v>
      </c>
      <c r="T119" s="424" t="s">
        <v>686</v>
      </c>
      <c r="U119" s="424" t="s">
        <v>687</v>
      </c>
      <c r="V119" s="424" t="s">
        <v>688</v>
      </c>
      <c r="W119" s="424" t="s">
        <v>689</v>
      </c>
      <c r="X119" s="424" t="s">
        <v>138</v>
      </c>
      <c r="Y119" s="424" t="s">
        <v>1385</v>
      </c>
      <c r="Z119" s="424" t="s">
        <v>1238</v>
      </c>
    </row>
    <row r="120" spans="1:26" ht="15" customHeight="1" x14ac:dyDescent="0.25">
      <c r="A120" s="484"/>
      <c r="B120" s="483"/>
      <c r="C120" s="487"/>
      <c r="D120" s="488"/>
      <c r="E120" s="486"/>
      <c r="F120" s="488"/>
      <c r="G120" s="486"/>
      <c r="H120" s="485"/>
      <c r="I120" s="485"/>
      <c r="J120" s="485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483"/>
      <c r="W120" s="483"/>
      <c r="X120" s="483"/>
      <c r="Y120" s="483"/>
      <c r="Z120" s="483">
        <f t="shared" ref="Z120:Z122" si="23">SUM(K120:Y120)</f>
        <v>0</v>
      </c>
    </row>
    <row r="121" spans="1:26" ht="15" customHeight="1" x14ac:dyDescent="0.25">
      <c r="A121" s="484"/>
      <c r="B121" s="483"/>
      <c r="C121" s="487"/>
      <c r="D121" s="488"/>
      <c r="E121" s="486"/>
      <c r="F121" s="488"/>
      <c r="G121" s="486"/>
      <c r="H121" s="485"/>
      <c r="I121" s="485"/>
      <c r="J121" s="485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83"/>
      <c r="Y121" s="483"/>
      <c r="Z121" s="483">
        <f t="shared" si="23"/>
        <v>0</v>
      </c>
    </row>
    <row r="122" spans="1:26" ht="15" customHeight="1" x14ac:dyDescent="0.25">
      <c r="A122" s="484"/>
      <c r="B122" s="483"/>
      <c r="C122" s="487"/>
      <c r="D122" s="488"/>
      <c r="E122" s="486"/>
      <c r="F122" s="488"/>
      <c r="G122" s="486"/>
      <c r="H122" s="485"/>
      <c r="I122" s="485"/>
      <c r="J122" s="485"/>
      <c r="K122" s="483"/>
      <c r="L122" s="483"/>
      <c r="M122" s="483"/>
      <c r="N122" s="483"/>
      <c r="O122" s="483"/>
      <c r="P122" s="483"/>
      <c r="Q122" s="483"/>
      <c r="R122" s="483"/>
      <c r="S122" s="483"/>
      <c r="T122" s="483"/>
      <c r="U122" s="483"/>
      <c r="V122" s="483"/>
      <c r="W122" s="483"/>
      <c r="X122" s="483"/>
      <c r="Y122" s="483"/>
      <c r="Z122" s="483">
        <f t="shared" si="23"/>
        <v>0</v>
      </c>
    </row>
    <row r="123" spans="1:26" ht="15" customHeight="1" x14ac:dyDescent="0.25">
      <c r="A123" s="443" t="s">
        <v>1230</v>
      </c>
      <c r="B123" s="444"/>
      <c r="C123" s="445"/>
      <c r="D123" s="446"/>
      <c r="E123" s="447"/>
      <c r="F123" s="446"/>
      <c r="G123" s="447">
        <f>SUM(G120:G122)</f>
        <v>0</v>
      </c>
      <c r="H123" s="448">
        <f>SUM(H120:H122)</f>
        <v>0</v>
      </c>
      <c r="I123" s="448">
        <f t="shared" ref="I123:J123" si="24">SUM(I120:I122)</f>
        <v>0</v>
      </c>
      <c r="J123" s="448">
        <f t="shared" si="24"/>
        <v>0</v>
      </c>
      <c r="K123" s="447">
        <f t="shared" ref="K123:Z123" si="25">SUM(K120:K122)</f>
        <v>0</v>
      </c>
      <c r="L123" s="447">
        <f t="shared" ref="L123" si="26">SUM(L120:L122)</f>
        <v>0</v>
      </c>
      <c r="M123" s="447">
        <f t="shared" si="25"/>
        <v>0</v>
      </c>
      <c r="N123" s="447">
        <f t="shared" si="25"/>
        <v>0</v>
      </c>
      <c r="O123" s="447">
        <f t="shared" si="25"/>
        <v>0</v>
      </c>
      <c r="P123" s="447">
        <f t="shared" si="25"/>
        <v>0</v>
      </c>
      <c r="Q123" s="447">
        <f t="shared" si="25"/>
        <v>0</v>
      </c>
      <c r="R123" s="447">
        <f t="shared" si="25"/>
        <v>0</v>
      </c>
      <c r="S123" s="447">
        <f t="shared" si="25"/>
        <v>0</v>
      </c>
      <c r="T123" s="447">
        <f t="shared" si="25"/>
        <v>0</v>
      </c>
      <c r="U123" s="447">
        <f t="shared" si="25"/>
        <v>0</v>
      </c>
      <c r="V123" s="447">
        <f t="shared" si="25"/>
        <v>0</v>
      </c>
      <c r="W123" s="447">
        <f t="shared" si="25"/>
        <v>0</v>
      </c>
      <c r="X123" s="447"/>
      <c r="Y123" s="447"/>
      <c r="Z123" s="447">
        <f t="shared" si="25"/>
        <v>0</v>
      </c>
    </row>
    <row r="124" spans="1:26" ht="15.75" thickBot="1" x14ac:dyDescent="0.3"/>
    <row r="125" spans="1:26" ht="15.75" thickBot="1" x14ac:dyDescent="0.3">
      <c r="A125" s="436" t="s">
        <v>1232</v>
      </c>
      <c r="B125" s="434"/>
      <c r="C125" s="434"/>
      <c r="D125" s="434"/>
      <c r="E125" s="434"/>
      <c r="F125" s="434"/>
      <c r="G125" s="437">
        <f t="shared" ref="G125:Z125" si="27">G84+G96+G108+G116+G123</f>
        <v>18</v>
      </c>
      <c r="H125" s="438">
        <f t="shared" si="27"/>
        <v>35017.800000000003</v>
      </c>
      <c r="I125" s="438">
        <f t="shared" si="27"/>
        <v>12500</v>
      </c>
      <c r="J125" s="438">
        <f t="shared" si="27"/>
        <v>199220.32</v>
      </c>
      <c r="K125" s="450">
        <f t="shared" si="27"/>
        <v>0</v>
      </c>
      <c r="L125" s="450">
        <f t="shared" ref="L125" si="28">L84+L96+L108+L116+L123</f>
        <v>0</v>
      </c>
      <c r="M125" s="450">
        <f t="shared" si="27"/>
        <v>1</v>
      </c>
      <c r="N125" s="450">
        <f t="shared" si="27"/>
        <v>0</v>
      </c>
      <c r="O125" s="450">
        <f t="shared" si="27"/>
        <v>0</v>
      </c>
      <c r="P125" s="450">
        <f t="shared" si="27"/>
        <v>1</v>
      </c>
      <c r="Q125" s="450">
        <f t="shared" si="27"/>
        <v>0</v>
      </c>
      <c r="R125" s="450">
        <f t="shared" si="27"/>
        <v>3</v>
      </c>
      <c r="S125" s="450">
        <f t="shared" si="27"/>
        <v>2</v>
      </c>
      <c r="T125" s="450">
        <f t="shared" si="27"/>
        <v>0</v>
      </c>
      <c r="U125" s="450">
        <f t="shared" si="27"/>
        <v>0</v>
      </c>
      <c r="V125" s="450">
        <f t="shared" si="27"/>
        <v>0</v>
      </c>
      <c r="W125" s="450">
        <f t="shared" si="27"/>
        <v>0</v>
      </c>
      <c r="X125" s="450">
        <f t="shared" si="27"/>
        <v>0</v>
      </c>
      <c r="Y125" s="450">
        <f t="shared" si="27"/>
        <v>0</v>
      </c>
      <c r="Z125" s="450">
        <f t="shared" si="27"/>
        <v>7</v>
      </c>
    </row>
    <row r="126" spans="1:26" ht="15.75" thickBot="1" x14ac:dyDescent="0.3">
      <c r="A126" s="436" t="s">
        <v>64</v>
      </c>
      <c r="B126" s="434"/>
      <c r="C126" s="434"/>
      <c r="D126" s="434"/>
      <c r="E126" s="434"/>
      <c r="F126" s="434"/>
      <c r="G126" s="437"/>
      <c r="H126" s="438"/>
      <c r="I126" s="438"/>
      <c r="J126" s="438"/>
    </row>
    <row r="127" spans="1:26" ht="15.75" thickBot="1" x14ac:dyDescent="0.3">
      <c r="A127" s="439" t="s">
        <v>452</v>
      </c>
      <c r="B127" s="440"/>
      <c r="C127" s="440"/>
      <c r="D127" s="440"/>
      <c r="E127" s="440"/>
      <c r="F127" s="440"/>
      <c r="G127" s="441"/>
      <c r="H127" s="442">
        <f>H125-H126</f>
        <v>35017.800000000003</v>
      </c>
      <c r="I127" s="442"/>
      <c r="J127" s="442"/>
    </row>
    <row r="130" spans="8:10" x14ac:dyDescent="0.25">
      <c r="H130" s="435">
        <f>H84+H108+H116+H123</f>
        <v>20566.8</v>
      </c>
      <c r="I130" s="435"/>
      <c r="J130" s="435"/>
    </row>
  </sheetData>
  <sortState ref="A88:Z94">
    <sortCondition ref="A88:A94"/>
  </sortState>
  <mergeCells count="8">
    <mergeCell ref="G3:H3"/>
    <mergeCell ref="A86:B86"/>
    <mergeCell ref="A98:B98"/>
    <mergeCell ref="A110:B110"/>
    <mergeCell ref="A118:B118"/>
    <mergeCell ref="A3:B3"/>
    <mergeCell ref="C3:D3"/>
    <mergeCell ref="E3:F3"/>
  </mergeCells>
  <pageMargins left="0.7" right="0.7" top="0.75" bottom="0.75" header="0.3" footer="0.3"/>
  <pageSetup scale="64" fitToWidth="2" fitToHeight="4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33"/>
  <sheetViews>
    <sheetView topLeftCell="A91" zoomScale="80" zoomScaleNormal="8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7" width="11.85546875" style="419" customWidth="1"/>
    <col min="8" max="8" width="13.42578125" style="419" bestFit="1" customWidth="1"/>
    <col min="9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22" t="s">
        <v>1</v>
      </c>
      <c r="B4" s="522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9" t="s">
        <v>302</v>
      </c>
      <c r="B5" s="483"/>
      <c r="C5" s="9">
        <v>3</v>
      </c>
      <c r="D5" s="414">
        <v>4620</v>
      </c>
      <c r="E5" s="483">
        <v>3</v>
      </c>
      <c r="F5" s="414">
        <v>5835</v>
      </c>
      <c r="G5" s="483">
        <f>E5-C5</f>
        <v>0</v>
      </c>
      <c r="H5" s="414">
        <f>F5-D5</f>
        <v>1215</v>
      </c>
      <c r="I5" s="414"/>
      <c r="J5" s="414">
        <v>2334</v>
      </c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>
        <f>SUM(K5:Y5)</f>
        <v>0</v>
      </c>
    </row>
    <row r="6" spans="1:26" ht="14.45" customHeight="1" x14ac:dyDescent="0.25">
      <c r="A6" s="9" t="s">
        <v>250</v>
      </c>
      <c r="B6" s="483"/>
      <c r="C6" s="9">
        <v>8</v>
      </c>
      <c r="D6" s="414">
        <v>13127</v>
      </c>
      <c r="E6" s="483">
        <v>8</v>
      </c>
      <c r="F6" s="414">
        <v>14925</v>
      </c>
      <c r="G6" s="483">
        <f t="shared" ref="G6:H83" si="0">E6-C6</f>
        <v>0</v>
      </c>
      <c r="H6" s="414">
        <f t="shared" si="0"/>
        <v>1798</v>
      </c>
      <c r="I6" s="414"/>
      <c r="J6" s="414">
        <v>4000</v>
      </c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>
        <f t="shared" ref="Z6:Z83" si="1">SUM(K6:Y6)</f>
        <v>0</v>
      </c>
    </row>
    <row r="7" spans="1:26" ht="14.45" customHeight="1" x14ac:dyDescent="0.25">
      <c r="A7" s="483" t="s">
        <v>328</v>
      </c>
      <c r="B7" s="483"/>
      <c r="C7" s="9">
        <v>5</v>
      </c>
      <c r="D7" s="414">
        <v>8400</v>
      </c>
      <c r="E7" s="483">
        <v>5</v>
      </c>
      <c r="F7" s="414">
        <v>9725</v>
      </c>
      <c r="G7" s="483">
        <f t="shared" si="0"/>
        <v>0</v>
      </c>
      <c r="H7" s="414">
        <f t="shared" si="0"/>
        <v>1325</v>
      </c>
      <c r="I7" s="414"/>
      <c r="J7" s="414">
        <v>3890</v>
      </c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>
        <f t="shared" si="1"/>
        <v>0</v>
      </c>
    </row>
    <row r="8" spans="1:26" ht="14.45" customHeight="1" x14ac:dyDescent="0.25">
      <c r="A8" s="9" t="s">
        <v>163</v>
      </c>
      <c r="B8" s="483"/>
      <c r="C8" s="9">
        <v>4</v>
      </c>
      <c r="D8" s="414">
        <v>8085</v>
      </c>
      <c r="E8" s="483">
        <v>4</v>
      </c>
      <c r="F8" s="414">
        <v>8013</v>
      </c>
      <c r="G8" s="483">
        <f t="shared" si="0"/>
        <v>0</v>
      </c>
      <c r="H8" s="414">
        <f t="shared" si="0"/>
        <v>-72</v>
      </c>
      <c r="I8" s="414"/>
      <c r="J8" s="414">
        <v>3205</v>
      </c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>
        <f t="shared" si="1"/>
        <v>0</v>
      </c>
    </row>
    <row r="9" spans="1:26" ht="14.45" customHeight="1" x14ac:dyDescent="0.25">
      <c r="A9" s="6" t="s">
        <v>1267</v>
      </c>
      <c r="B9" s="483"/>
      <c r="C9" s="6">
        <v>4</v>
      </c>
      <c r="D9" s="414">
        <v>6200</v>
      </c>
      <c r="E9" s="483">
        <v>4</v>
      </c>
      <c r="F9" s="414">
        <v>6380</v>
      </c>
      <c r="G9" s="483">
        <f t="shared" si="0"/>
        <v>0</v>
      </c>
      <c r="H9" s="414">
        <f t="shared" si="0"/>
        <v>180</v>
      </c>
      <c r="I9" s="414"/>
      <c r="J9" s="414">
        <v>2552</v>
      </c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>
        <f t="shared" si="1"/>
        <v>0</v>
      </c>
    </row>
    <row r="10" spans="1:26" ht="14.45" customHeight="1" x14ac:dyDescent="0.25">
      <c r="A10" s="6" t="s">
        <v>1252</v>
      </c>
      <c r="B10" s="483"/>
      <c r="C10" s="9">
        <v>4</v>
      </c>
      <c r="D10" s="414">
        <v>6200</v>
      </c>
      <c r="E10" s="483">
        <v>4</v>
      </c>
      <c r="F10" s="414">
        <v>6380</v>
      </c>
      <c r="G10" s="483">
        <f t="shared" si="0"/>
        <v>0</v>
      </c>
      <c r="H10" s="414">
        <f t="shared" si="0"/>
        <v>180</v>
      </c>
      <c r="I10" s="414"/>
      <c r="J10" s="414">
        <v>2552</v>
      </c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>
        <f t="shared" si="1"/>
        <v>0</v>
      </c>
    </row>
    <row r="11" spans="1:26" ht="14.45" customHeight="1" x14ac:dyDescent="0.25">
      <c r="A11" s="9" t="s">
        <v>204</v>
      </c>
      <c r="B11" s="483"/>
      <c r="C11" s="9">
        <v>8</v>
      </c>
      <c r="D11" s="414">
        <v>10760</v>
      </c>
      <c r="E11" s="483">
        <v>8</v>
      </c>
      <c r="F11" s="414">
        <v>12420</v>
      </c>
      <c r="G11" s="483">
        <f t="shared" si="0"/>
        <v>0</v>
      </c>
      <c r="H11" s="414">
        <f t="shared" si="0"/>
        <v>1660</v>
      </c>
      <c r="I11" s="414"/>
      <c r="J11" s="414">
        <v>4000</v>
      </c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>
        <f t="shared" si="1"/>
        <v>0</v>
      </c>
    </row>
    <row r="12" spans="1:26" ht="14.45" customHeight="1" x14ac:dyDescent="0.25">
      <c r="A12" s="6" t="s">
        <v>268</v>
      </c>
      <c r="B12" s="483"/>
      <c r="C12" s="9">
        <v>4</v>
      </c>
      <c r="D12" s="414">
        <v>5620</v>
      </c>
      <c r="E12" s="483">
        <v>4</v>
      </c>
      <c r="F12" s="414">
        <v>4783</v>
      </c>
      <c r="G12" s="483">
        <f t="shared" si="0"/>
        <v>0</v>
      </c>
      <c r="H12" s="414">
        <f t="shared" si="0"/>
        <v>-837</v>
      </c>
      <c r="I12" s="414"/>
      <c r="J12" s="414">
        <v>1913</v>
      </c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>
        <f t="shared" si="1"/>
        <v>0</v>
      </c>
    </row>
    <row r="13" spans="1:26" ht="14.45" customHeight="1" x14ac:dyDescent="0.25">
      <c r="A13" s="525" t="s">
        <v>346</v>
      </c>
      <c r="B13" s="524"/>
      <c r="C13" s="523">
        <v>10</v>
      </c>
      <c r="D13" s="477">
        <v>15950</v>
      </c>
      <c r="E13" s="483">
        <v>10</v>
      </c>
      <c r="F13" s="414">
        <v>16430</v>
      </c>
      <c r="G13" s="483">
        <f t="shared" si="0"/>
        <v>0</v>
      </c>
      <c r="H13" s="414">
        <f t="shared" si="0"/>
        <v>480</v>
      </c>
      <c r="I13" s="414"/>
      <c r="J13" s="414">
        <v>4120</v>
      </c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>
        <f t="shared" si="1"/>
        <v>0</v>
      </c>
    </row>
    <row r="14" spans="1:26" ht="14.45" customHeight="1" x14ac:dyDescent="0.25">
      <c r="A14" s="523" t="s">
        <v>182</v>
      </c>
      <c r="B14" s="524"/>
      <c r="C14" s="523">
        <v>8</v>
      </c>
      <c r="D14" s="477">
        <v>12760</v>
      </c>
      <c r="E14" s="483">
        <v>8</v>
      </c>
      <c r="F14" s="414">
        <v>13144</v>
      </c>
      <c r="G14" s="483">
        <f t="shared" si="0"/>
        <v>0</v>
      </c>
      <c r="H14" s="414">
        <f t="shared" si="0"/>
        <v>384</v>
      </c>
      <c r="I14" s="414"/>
      <c r="J14" s="414">
        <v>4120</v>
      </c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>
        <f t="shared" si="1"/>
        <v>0</v>
      </c>
    </row>
    <row r="15" spans="1:26" ht="14.45" customHeight="1" x14ac:dyDescent="0.25">
      <c r="A15" s="525" t="s">
        <v>297</v>
      </c>
      <c r="B15" s="524"/>
      <c r="C15" s="524">
        <v>9</v>
      </c>
      <c r="D15" s="529">
        <v>16555</v>
      </c>
      <c r="E15" s="483">
        <v>9</v>
      </c>
      <c r="F15" s="414">
        <v>16987</v>
      </c>
      <c r="G15" s="483">
        <f t="shared" si="0"/>
        <v>0</v>
      </c>
      <c r="H15" s="414">
        <f t="shared" si="0"/>
        <v>432</v>
      </c>
      <c r="I15" s="414"/>
      <c r="J15" s="414">
        <v>5915</v>
      </c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>
        <f t="shared" si="1"/>
        <v>0</v>
      </c>
    </row>
    <row r="16" spans="1:26" ht="14.45" customHeight="1" x14ac:dyDescent="0.25">
      <c r="A16" s="483"/>
      <c r="B16" s="483"/>
      <c r="C16" s="9"/>
      <c r="D16" s="414"/>
      <c r="E16" s="483"/>
      <c r="F16" s="414"/>
      <c r="G16" s="483">
        <f t="shared" si="0"/>
        <v>0</v>
      </c>
      <c r="H16" s="414">
        <f t="shared" si="0"/>
        <v>0</v>
      </c>
      <c r="I16" s="414"/>
      <c r="J16" s="414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>
        <f t="shared" si="1"/>
        <v>0</v>
      </c>
    </row>
    <row r="17" spans="1:26" ht="14.45" customHeight="1" x14ac:dyDescent="0.25">
      <c r="A17" s="483"/>
      <c r="B17" s="483"/>
      <c r="C17" s="9"/>
      <c r="D17" s="414"/>
      <c r="E17" s="483"/>
      <c r="F17" s="414"/>
      <c r="G17" s="483">
        <f t="shared" si="0"/>
        <v>0</v>
      </c>
      <c r="H17" s="414">
        <f t="shared" si="0"/>
        <v>0</v>
      </c>
      <c r="I17" s="414"/>
      <c r="J17" s="414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>
        <f t="shared" si="1"/>
        <v>0</v>
      </c>
    </row>
    <row r="18" spans="1:26" ht="14.45" customHeight="1" x14ac:dyDescent="0.25">
      <c r="A18" s="483"/>
      <c r="B18" s="483"/>
      <c r="C18" s="9"/>
      <c r="D18" s="414"/>
      <c r="E18" s="483"/>
      <c r="F18" s="414"/>
      <c r="G18" s="483">
        <f t="shared" si="0"/>
        <v>0</v>
      </c>
      <c r="H18" s="414">
        <f t="shared" si="0"/>
        <v>0</v>
      </c>
      <c r="I18" s="414"/>
      <c r="J18" s="414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>
        <f t="shared" si="1"/>
        <v>0</v>
      </c>
    </row>
    <row r="19" spans="1:26" ht="14.45" customHeight="1" x14ac:dyDescent="0.25">
      <c r="A19" s="483"/>
      <c r="B19" s="483"/>
      <c r="C19" s="9"/>
      <c r="D19" s="414"/>
      <c r="E19" s="483"/>
      <c r="F19" s="414"/>
      <c r="G19" s="483">
        <f t="shared" si="0"/>
        <v>0</v>
      </c>
      <c r="H19" s="414">
        <f t="shared" si="0"/>
        <v>0</v>
      </c>
      <c r="I19" s="414"/>
      <c r="J19" s="414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>
        <f t="shared" si="1"/>
        <v>0</v>
      </c>
    </row>
    <row r="20" spans="1:26" ht="14.45" customHeight="1" x14ac:dyDescent="0.25">
      <c r="A20" s="9"/>
      <c r="B20" s="483"/>
      <c r="C20" s="9"/>
      <c r="D20" s="414"/>
      <c r="E20" s="483"/>
      <c r="F20" s="414"/>
      <c r="G20" s="483">
        <f t="shared" si="0"/>
        <v>0</v>
      </c>
      <c r="H20" s="414">
        <f t="shared" si="0"/>
        <v>0</v>
      </c>
      <c r="I20" s="414"/>
      <c r="J20" s="414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>
        <f t="shared" si="1"/>
        <v>0</v>
      </c>
    </row>
    <row r="21" spans="1:26" ht="14.45" customHeight="1" x14ac:dyDescent="0.25">
      <c r="A21" s="6"/>
      <c r="B21" s="483"/>
      <c r="C21" s="9"/>
      <c r="D21" s="414"/>
      <c r="E21" s="483"/>
      <c r="F21" s="414"/>
      <c r="G21" s="483">
        <f t="shared" si="0"/>
        <v>0</v>
      </c>
      <c r="H21" s="414">
        <f t="shared" si="0"/>
        <v>0</v>
      </c>
      <c r="I21" s="414"/>
      <c r="J21" s="414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>
        <f t="shared" si="1"/>
        <v>0</v>
      </c>
    </row>
    <row r="22" spans="1:26" ht="14.45" customHeight="1" x14ac:dyDescent="0.25">
      <c r="A22" s="9"/>
      <c r="B22" s="483"/>
      <c r="C22" s="9"/>
      <c r="D22" s="414"/>
      <c r="E22" s="483"/>
      <c r="F22" s="414"/>
      <c r="G22" s="483">
        <f t="shared" si="0"/>
        <v>0</v>
      </c>
      <c r="H22" s="414">
        <f t="shared" si="0"/>
        <v>0</v>
      </c>
      <c r="I22" s="414"/>
      <c r="J22" s="414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>
        <f t="shared" si="1"/>
        <v>0</v>
      </c>
    </row>
    <row r="23" spans="1:26" ht="14.45" customHeight="1" x14ac:dyDescent="0.25">
      <c r="A23" s="9"/>
      <c r="B23" s="483"/>
      <c r="C23" s="9"/>
      <c r="D23" s="414"/>
      <c r="E23" s="483"/>
      <c r="F23" s="414"/>
      <c r="G23" s="483">
        <f t="shared" si="0"/>
        <v>0</v>
      </c>
      <c r="H23" s="414">
        <f t="shared" si="0"/>
        <v>0</v>
      </c>
      <c r="I23" s="414"/>
      <c r="J23" s="414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>
        <f t="shared" si="1"/>
        <v>0</v>
      </c>
    </row>
    <row r="24" spans="1:26" ht="14.45" customHeight="1" x14ac:dyDescent="0.25">
      <c r="A24" s="6"/>
      <c r="B24" s="483"/>
      <c r="C24" s="9"/>
      <c r="D24" s="414"/>
      <c r="E24" s="483"/>
      <c r="F24" s="414"/>
      <c r="G24" s="483">
        <f t="shared" si="0"/>
        <v>0</v>
      </c>
      <c r="H24" s="414">
        <f t="shared" si="0"/>
        <v>0</v>
      </c>
      <c r="I24" s="414"/>
      <c r="J24" s="414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>
        <f t="shared" si="1"/>
        <v>0</v>
      </c>
    </row>
    <row r="25" spans="1:26" ht="14.45" customHeight="1" x14ac:dyDescent="0.25">
      <c r="A25" s="6"/>
      <c r="B25" s="483"/>
      <c r="C25" s="9"/>
      <c r="D25" s="414"/>
      <c r="E25" s="483"/>
      <c r="F25" s="414"/>
      <c r="G25" s="483">
        <f t="shared" si="0"/>
        <v>0</v>
      </c>
      <c r="H25" s="414">
        <f t="shared" si="0"/>
        <v>0</v>
      </c>
      <c r="I25" s="414"/>
      <c r="J25" s="414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>
        <f t="shared" si="1"/>
        <v>0</v>
      </c>
    </row>
    <row r="26" spans="1:26" ht="14.45" customHeight="1" x14ac:dyDescent="0.25">
      <c r="A26" s="6"/>
      <c r="B26" s="483"/>
      <c r="C26" s="9"/>
      <c r="D26" s="414"/>
      <c r="E26" s="483"/>
      <c r="F26" s="414"/>
      <c r="G26" s="483">
        <f t="shared" si="0"/>
        <v>0</v>
      </c>
      <c r="H26" s="414">
        <f t="shared" si="0"/>
        <v>0</v>
      </c>
      <c r="I26" s="414"/>
      <c r="J26" s="414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>
        <f t="shared" si="1"/>
        <v>0</v>
      </c>
    </row>
    <row r="27" spans="1:26" ht="14.45" hidden="1" customHeight="1" x14ac:dyDescent="0.25">
      <c r="A27" s="6"/>
      <c r="B27" s="483"/>
      <c r="C27" s="9"/>
      <c r="D27" s="414"/>
      <c r="E27" s="483"/>
      <c r="F27" s="414"/>
      <c r="G27" s="483">
        <f t="shared" si="0"/>
        <v>0</v>
      </c>
      <c r="H27" s="414">
        <f t="shared" si="0"/>
        <v>0</v>
      </c>
      <c r="I27" s="414"/>
      <c r="J27" s="414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>
        <f t="shared" si="1"/>
        <v>0</v>
      </c>
    </row>
    <row r="28" spans="1:26" ht="14.45" hidden="1" customHeight="1" x14ac:dyDescent="0.25">
      <c r="A28" s="9"/>
      <c r="B28" s="483"/>
      <c r="C28" s="9"/>
      <c r="D28" s="414"/>
      <c r="E28" s="483"/>
      <c r="F28" s="414"/>
      <c r="G28" s="483">
        <f t="shared" si="0"/>
        <v>0</v>
      </c>
      <c r="H28" s="414">
        <f t="shared" si="0"/>
        <v>0</v>
      </c>
      <c r="I28" s="414"/>
      <c r="J28" s="414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>
        <f t="shared" si="1"/>
        <v>0</v>
      </c>
    </row>
    <row r="29" spans="1:26" ht="14.45" hidden="1" customHeight="1" x14ac:dyDescent="0.25">
      <c r="A29" s="25"/>
      <c r="B29" s="483"/>
      <c r="C29" s="9"/>
      <c r="D29" s="414"/>
      <c r="E29" s="483"/>
      <c r="F29" s="414"/>
      <c r="G29" s="483">
        <f t="shared" si="0"/>
        <v>0</v>
      </c>
      <c r="H29" s="414">
        <f t="shared" si="0"/>
        <v>0</v>
      </c>
      <c r="I29" s="414"/>
      <c r="J29" s="414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>
        <f t="shared" si="1"/>
        <v>0</v>
      </c>
    </row>
    <row r="30" spans="1:26" ht="14.45" hidden="1" customHeight="1" x14ac:dyDescent="0.25">
      <c r="A30" s="9"/>
      <c r="B30" s="483"/>
      <c r="C30" s="9"/>
      <c r="D30" s="414"/>
      <c r="E30" s="483"/>
      <c r="F30" s="414"/>
      <c r="G30" s="483">
        <f t="shared" si="0"/>
        <v>0</v>
      </c>
      <c r="H30" s="414">
        <f t="shared" si="0"/>
        <v>0</v>
      </c>
      <c r="I30" s="414"/>
      <c r="J30" s="414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>
        <f t="shared" si="1"/>
        <v>0</v>
      </c>
    </row>
    <row r="31" spans="1:26" ht="14.45" hidden="1" customHeight="1" x14ac:dyDescent="0.25">
      <c r="A31" s="9"/>
      <c r="B31" s="483"/>
      <c r="C31" s="9"/>
      <c r="D31" s="414"/>
      <c r="E31" s="483"/>
      <c r="F31" s="414"/>
      <c r="G31" s="483">
        <f t="shared" si="0"/>
        <v>0</v>
      </c>
      <c r="H31" s="414">
        <f t="shared" si="0"/>
        <v>0</v>
      </c>
      <c r="I31" s="414"/>
      <c r="J31" s="414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>
        <f t="shared" si="1"/>
        <v>0</v>
      </c>
    </row>
    <row r="32" spans="1:26" ht="14.45" hidden="1" customHeight="1" x14ac:dyDescent="0.25">
      <c r="A32" s="9"/>
      <c r="B32" s="483"/>
      <c r="C32" s="9"/>
      <c r="D32" s="414"/>
      <c r="E32" s="483"/>
      <c r="F32" s="414"/>
      <c r="G32" s="483">
        <f t="shared" si="0"/>
        <v>0</v>
      </c>
      <c r="H32" s="414">
        <f t="shared" si="0"/>
        <v>0</v>
      </c>
      <c r="I32" s="414"/>
      <c r="J32" s="414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>
        <f t="shared" si="1"/>
        <v>0</v>
      </c>
    </row>
    <row r="33" spans="1:26" ht="14.45" hidden="1" customHeight="1" x14ac:dyDescent="0.25">
      <c r="A33" s="9"/>
      <c r="B33" s="483"/>
      <c r="C33" s="9"/>
      <c r="D33" s="414"/>
      <c r="E33" s="483"/>
      <c r="F33" s="414"/>
      <c r="G33" s="483">
        <f t="shared" si="0"/>
        <v>0</v>
      </c>
      <c r="H33" s="414">
        <f t="shared" si="0"/>
        <v>0</v>
      </c>
      <c r="I33" s="414"/>
      <c r="J33" s="414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>
        <f t="shared" si="1"/>
        <v>0</v>
      </c>
    </row>
    <row r="34" spans="1:26" ht="14.45" hidden="1" customHeight="1" x14ac:dyDescent="0.25">
      <c r="A34" s="9"/>
      <c r="B34" s="483"/>
      <c r="C34" s="9"/>
      <c r="D34" s="414"/>
      <c r="E34" s="483"/>
      <c r="F34" s="414"/>
      <c r="G34" s="483">
        <f t="shared" si="0"/>
        <v>0</v>
      </c>
      <c r="H34" s="414">
        <f t="shared" si="0"/>
        <v>0</v>
      </c>
      <c r="I34" s="414"/>
      <c r="J34" s="414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>
        <f t="shared" si="1"/>
        <v>0</v>
      </c>
    </row>
    <row r="35" spans="1:26" ht="14.45" hidden="1" customHeight="1" x14ac:dyDescent="0.25">
      <c r="A35" s="9"/>
      <c r="B35" s="483"/>
      <c r="C35" s="9"/>
      <c r="D35" s="414"/>
      <c r="E35" s="483"/>
      <c r="F35" s="414"/>
      <c r="G35" s="483">
        <f t="shared" si="0"/>
        <v>0</v>
      </c>
      <c r="H35" s="414">
        <f t="shared" si="0"/>
        <v>0</v>
      </c>
      <c r="I35" s="414"/>
      <c r="J35" s="414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>
        <f t="shared" si="1"/>
        <v>0</v>
      </c>
    </row>
    <row r="36" spans="1:26" ht="14.45" hidden="1" customHeight="1" x14ac:dyDescent="0.25">
      <c r="A36" s="9"/>
      <c r="B36" s="483"/>
      <c r="C36" s="9"/>
      <c r="D36" s="414"/>
      <c r="E36" s="483"/>
      <c r="F36" s="414"/>
      <c r="G36" s="483">
        <f t="shared" si="0"/>
        <v>0</v>
      </c>
      <c r="H36" s="414">
        <f t="shared" si="0"/>
        <v>0</v>
      </c>
      <c r="I36" s="414"/>
      <c r="J36" s="414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>
        <f t="shared" si="1"/>
        <v>0</v>
      </c>
    </row>
    <row r="37" spans="1:26" ht="14.45" hidden="1" customHeight="1" x14ac:dyDescent="0.25">
      <c r="A37" s="9"/>
      <c r="B37" s="483"/>
      <c r="C37" s="9"/>
      <c r="D37" s="414"/>
      <c r="E37" s="483"/>
      <c r="F37" s="414"/>
      <c r="G37" s="483">
        <f t="shared" si="0"/>
        <v>0</v>
      </c>
      <c r="H37" s="414">
        <f t="shared" si="0"/>
        <v>0</v>
      </c>
      <c r="I37" s="414"/>
      <c r="J37" s="414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>
        <f t="shared" si="1"/>
        <v>0</v>
      </c>
    </row>
    <row r="38" spans="1:26" ht="14.45" hidden="1" customHeight="1" x14ac:dyDescent="0.25">
      <c r="A38" s="6"/>
      <c r="B38" s="483"/>
      <c r="C38" s="9"/>
      <c r="D38" s="414"/>
      <c r="E38" s="483"/>
      <c r="F38" s="414"/>
      <c r="G38" s="483">
        <f t="shared" si="0"/>
        <v>0</v>
      </c>
      <c r="H38" s="414">
        <f t="shared" si="0"/>
        <v>0</v>
      </c>
      <c r="I38" s="414"/>
      <c r="J38" s="414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>
        <f t="shared" si="1"/>
        <v>0</v>
      </c>
    </row>
    <row r="39" spans="1:26" ht="14.45" hidden="1" customHeight="1" x14ac:dyDescent="0.25">
      <c r="A39" s="6"/>
      <c r="B39" s="483"/>
      <c r="C39" s="9"/>
      <c r="D39" s="414"/>
      <c r="E39" s="483"/>
      <c r="F39" s="414"/>
      <c r="G39" s="483">
        <f t="shared" si="0"/>
        <v>0</v>
      </c>
      <c r="H39" s="414">
        <f t="shared" si="0"/>
        <v>0</v>
      </c>
      <c r="I39" s="414"/>
      <c r="J39" s="414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>
        <f t="shared" si="1"/>
        <v>0</v>
      </c>
    </row>
    <row r="40" spans="1:26" ht="14.45" hidden="1" customHeight="1" x14ac:dyDescent="0.25">
      <c r="A40" s="6"/>
      <c r="B40" s="483"/>
      <c r="C40" s="9"/>
      <c r="D40" s="414"/>
      <c r="E40" s="483"/>
      <c r="F40" s="414"/>
      <c r="G40" s="483">
        <f t="shared" si="0"/>
        <v>0</v>
      </c>
      <c r="H40" s="414">
        <f t="shared" si="0"/>
        <v>0</v>
      </c>
      <c r="I40" s="414"/>
      <c r="J40" s="414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>
        <f t="shared" si="1"/>
        <v>0</v>
      </c>
    </row>
    <row r="41" spans="1:26" ht="14.45" hidden="1" customHeight="1" x14ac:dyDescent="0.25">
      <c r="A41" s="6"/>
      <c r="B41" s="483"/>
      <c r="C41" s="9"/>
      <c r="D41" s="414"/>
      <c r="E41" s="483"/>
      <c r="F41" s="414"/>
      <c r="G41" s="483">
        <f t="shared" si="0"/>
        <v>0</v>
      </c>
      <c r="H41" s="414">
        <f t="shared" si="0"/>
        <v>0</v>
      </c>
      <c r="I41" s="414"/>
      <c r="J41" s="414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>
        <f t="shared" si="1"/>
        <v>0</v>
      </c>
    </row>
    <row r="42" spans="1:26" ht="14.45" hidden="1" customHeight="1" x14ac:dyDescent="0.25">
      <c r="A42" s="6"/>
      <c r="B42" s="483"/>
      <c r="C42" s="9"/>
      <c r="D42" s="414"/>
      <c r="E42" s="483"/>
      <c r="F42" s="414"/>
      <c r="G42" s="483">
        <f t="shared" si="0"/>
        <v>0</v>
      </c>
      <c r="H42" s="414">
        <f t="shared" si="0"/>
        <v>0</v>
      </c>
      <c r="I42" s="414"/>
      <c r="J42" s="414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>
        <f t="shared" si="1"/>
        <v>0</v>
      </c>
    </row>
    <row r="43" spans="1:26" ht="15" hidden="1" customHeight="1" x14ac:dyDescent="0.25">
      <c r="A43" s="6"/>
      <c r="B43" s="483"/>
      <c r="C43" s="9"/>
      <c r="D43" s="414"/>
      <c r="E43" s="483"/>
      <c r="F43" s="414"/>
      <c r="G43" s="483">
        <f t="shared" si="0"/>
        <v>0</v>
      </c>
      <c r="H43" s="414">
        <f t="shared" si="0"/>
        <v>0</v>
      </c>
      <c r="I43" s="414"/>
      <c r="J43" s="414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>
        <f t="shared" si="1"/>
        <v>0</v>
      </c>
    </row>
    <row r="44" spans="1:26" ht="15" hidden="1" customHeight="1" x14ac:dyDescent="0.25">
      <c r="A44" s="6"/>
      <c r="B44" s="483"/>
      <c r="C44" s="9"/>
      <c r="D44" s="414"/>
      <c r="E44" s="483"/>
      <c r="F44" s="414"/>
      <c r="G44" s="483">
        <f t="shared" si="0"/>
        <v>0</v>
      </c>
      <c r="H44" s="414">
        <f t="shared" si="0"/>
        <v>0</v>
      </c>
      <c r="I44" s="414"/>
      <c r="J44" s="414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>
        <f t="shared" si="1"/>
        <v>0</v>
      </c>
    </row>
    <row r="45" spans="1:26" ht="15" hidden="1" customHeight="1" x14ac:dyDescent="0.25">
      <c r="A45" s="6"/>
      <c r="B45" s="483"/>
      <c r="C45" s="9"/>
      <c r="D45" s="414"/>
      <c r="E45" s="483"/>
      <c r="F45" s="414"/>
      <c r="G45" s="483">
        <f t="shared" si="0"/>
        <v>0</v>
      </c>
      <c r="H45" s="414">
        <f t="shared" si="0"/>
        <v>0</v>
      </c>
      <c r="I45" s="414"/>
      <c r="J45" s="414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>
        <f t="shared" si="1"/>
        <v>0</v>
      </c>
    </row>
    <row r="46" spans="1:26" ht="15" hidden="1" customHeight="1" x14ac:dyDescent="0.25">
      <c r="A46" s="6"/>
      <c r="B46" s="483"/>
      <c r="C46" s="9"/>
      <c r="D46" s="414"/>
      <c r="E46" s="483"/>
      <c r="F46" s="414"/>
      <c r="G46" s="483">
        <f t="shared" si="0"/>
        <v>0</v>
      </c>
      <c r="H46" s="414">
        <f t="shared" si="0"/>
        <v>0</v>
      </c>
      <c r="I46" s="414"/>
      <c r="J46" s="414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>
        <f t="shared" si="1"/>
        <v>0</v>
      </c>
    </row>
    <row r="47" spans="1:26" ht="15" hidden="1" customHeight="1" x14ac:dyDescent="0.25">
      <c r="A47" s="6"/>
      <c r="B47" s="483"/>
      <c r="C47" s="9"/>
      <c r="D47" s="414"/>
      <c r="E47" s="483"/>
      <c r="F47" s="414"/>
      <c r="G47" s="483">
        <f t="shared" si="0"/>
        <v>0</v>
      </c>
      <c r="H47" s="414">
        <f t="shared" si="0"/>
        <v>0</v>
      </c>
      <c r="I47" s="414"/>
      <c r="J47" s="414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>
        <f t="shared" si="1"/>
        <v>0</v>
      </c>
    </row>
    <row r="48" spans="1:26" ht="15" hidden="1" customHeight="1" x14ac:dyDescent="0.25">
      <c r="A48" s="26"/>
      <c r="B48" s="483"/>
      <c r="C48" s="9"/>
      <c r="D48" s="414"/>
      <c r="E48" s="483"/>
      <c r="F48" s="414"/>
      <c r="G48" s="483">
        <f t="shared" si="0"/>
        <v>0</v>
      </c>
      <c r="H48" s="414">
        <f t="shared" si="0"/>
        <v>0</v>
      </c>
      <c r="I48" s="414"/>
      <c r="J48" s="414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>
        <f t="shared" si="1"/>
        <v>0</v>
      </c>
    </row>
    <row r="49" spans="1:26" ht="15" hidden="1" customHeight="1" x14ac:dyDescent="0.25">
      <c r="A49" s="9"/>
      <c r="B49" s="483"/>
      <c r="C49" s="9"/>
      <c r="D49" s="414"/>
      <c r="E49" s="483"/>
      <c r="F49" s="414"/>
      <c r="G49" s="483">
        <f t="shared" si="0"/>
        <v>0</v>
      </c>
      <c r="H49" s="414">
        <f t="shared" si="0"/>
        <v>0</v>
      </c>
      <c r="I49" s="414"/>
      <c r="J49" s="414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>
        <f t="shared" si="1"/>
        <v>0</v>
      </c>
    </row>
    <row r="50" spans="1:26" ht="15" hidden="1" customHeight="1" x14ac:dyDescent="0.25">
      <c r="A50" s="6"/>
      <c r="B50" s="483"/>
      <c r="C50" s="6"/>
      <c r="D50" s="414"/>
      <c r="E50" s="483"/>
      <c r="F50" s="414"/>
      <c r="G50" s="483">
        <f t="shared" si="0"/>
        <v>0</v>
      </c>
      <c r="H50" s="414">
        <f t="shared" si="0"/>
        <v>0</v>
      </c>
      <c r="I50" s="414"/>
      <c r="J50" s="414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>
        <f t="shared" si="1"/>
        <v>0</v>
      </c>
    </row>
    <row r="51" spans="1:26" ht="15" hidden="1" customHeight="1" x14ac:dyDescent="0.25">
      <c r="A51" s="6"/>
      <c r="B51" s="483"/>
      <c r="C51" s="6"/>
      <c r="D51" s="414"/>
      <c r="E51" s="483"/>
      <c r="F51" s="414"/>
      <c r="G51" s="483">
        <f t="shared" si="0"/>
        <v>0</v>
      </c>
      <c r="H51" s="414">
        <f t="shared" si="0"/>
        <v>0</v>
      </c>
      <c r="I51" s="414"/>
      <c r="J51" s="414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>
        <f t="shared" si="1"/>
        <v>0</v>
      </c>
    </row>
    <row r="52" spans="1:26" ht="15" hidden="1" customHeight="1" x14ac:dyDescent="0.25">
      <c r="A52" s="6"/>
      <c r="B52" s="483"/>
      <c r="C52" s="6"/>
      <c r="D52" s="414"/>
      <c r="E52" s="483"/>
      <c r="F52" s="414"/>
      <c r="G52" s="483">
        <f t="shared" si="0"/>
        <v>0</v>
      </c>
      <c r="H52" s="414">
        <f t="shared" si="0"/>
        <v>0</v>
      </c>
      <c r="I52" s="414"/>
      <c r="J52" s="414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>
        <f t="shared" si="1"/>
        <v>0</v>
      </c>
    </row>
    <row r="53" spans="1:26" ht="15" hidden="1" customHeight="1" x14ac:dyDescent="0.25">
      <c r="A53" s="6"/>
      <c r="B53" s="483"/>
      <c r="C53" s="6"/>
      <c r="D53" s="414"/>
      <c r="E53" s="483"/>
      <c r="F53" s="414"/>
      <c r="G53" s="483">
        <f t="shared" si="0"/>
        <v>0</v>
      </c>
      <c r="H53" s="414">
        <f t="shared" si="0"/>
        <v>0</v>
      </c>
      <c r="I53" s="414"/>
      <c r="J53" s="414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>
        <f t="shared" si="1"/>
        <v>0</v>
      </c>
    </row>
    <row r="54" spans="1:26" ht="15" hidden="1" customHeight="1" x14ac:dyDescent="0.25">
      <c r="A54" s="6"/>
      <c r="B54" s="483"/>
      <c r="C54" s="6"/>
      <c r="D54" s="414"/>
      <c r="E54" s="483"/>
      <c r="F54" s="414"/>
      <c r="G54" s="483">
        <f t="shared" si="0"/>
        <v>0</v>
      </c>
      <c r="H54" s="414">
        <f t="shared" si="0"/>
        <v>0</v>
      </c>
      <c r="I54" s="414"/>
      <c r="J54" s="414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>
        <f t="shared" si="1"/>
        <v>0</v>
      </c>
    </row>
    <row r="55" spans="1:26" ht="15" hidden="1" customHeight="1" x14ac:dyDescent="0.25">
      <c r="A55" s="6"/>
      <c r="B55" s="483"/>
      <c r="C55" s="6"/>
      <c r="D55" s="414"/>
      <c r="E55" s="483"/>
      <c r="F55" s="414"/>
      <c r="G55" s="483">
        <f t="shared" si="0"/>
        <v>0</v>
      </c>
      <c r="H55" s="414">
        <f t="shared" si="0"/>
        <v>0</v>
      </c>
      <c r="I55" s="414"/>
      <c r="J55" s="414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>
        <f t="shared" si="1"/>
        <v>0</v>
      </c>
    </row>
    <row r="56" spans="1:26" ht="15" hidden="1" customHeight="1" x14ac:dyDescent="0.25">
      <c r="A56" s="6"/>
      <c r="B56" s="483"/>
      <c r="C56" s="6"/>
      <c r="D56" s="414"/>
      <c r="E56" s="483"/>
      <c r="F56" s="414"/>
      <c r="G56" s="483">
        <f t="shared" si="0"/>
        <v>0</v>
      </c>
      <c r="H56" s="414">
        <f t="shared" si="0"/>
        <v>0</v>
      </c>
      <c r="I56" s="414"/>
      <c r="J56" s="414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>
        <f t="shared" si="1"/>
        <v>0</v>
      </c>
    </row>
    <row r="57" spans="1:26" ht="15" hidden="1" customHeight="1" x14ac:dyDescent="0.25">
      <c r="A57" s="6"/>
      <c r="B57" s="483"/>
      <c r="C57" s="9"/>
      <c r="D57" s="414"/>
      <c r="E57" s="483"/>
      <c r="F57" s="414"/>
      <c r="G57" s="483">
        <f t="shared" si="0"/>
        <v>0</v>
      </c>
      <c r="H57" s="414">
        <f t="shared" si="0"/>
        <v>0</v>
      </c>
      <c r="I57" s="414"/>
      <c r="J57" s="414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>
        <f t="shared" si="1"/>
        <v>0</v>
      </c>
    </row>
    <row r="58" spans="1:26" ht="15" hidden="1" customHeight="1" x14ac:dyDescent="0.25">
      <c r="A58" s="6"/>
      <c r="B58" s="483"/>
      <c r="C58" s="9"/>
      <c r="D58" s="414"/>
      <c r="E58" s="483"/>
      <c r="F58" s="414"/>
      <c r="G58" s="483">
        <f t="shared" si="0"/>
        <v>0</v>
      </c>
      <c r="H58" s="414">
        <f t="shared" si="0"/>
        <v>0</v>
      </c>
      <c r="I58" s="414"/>
      <c r="J58" s="414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>
        <f t="shared" si="1"/>
        <v>0</v>
      </c>
    </row>
    <row r="59" spans="1:26" ht="15" hidden="1" customHeight="1" x14ac:dyDescent="0.25">
      <c r="A59" s="6"/>
      <c r="B59" s="483"/>
      <c r="C59" s="9"/>
      <c r="D59" s="414"/>
      <c r="E59" s="483"/>
      <c r="F59" s="414"/>
      <c r="G59" s="483">
        <f t="shared" si="0"/>
        <v>0</v>
      </c>
      <c r="H59" s="414">
        <f t="shared" si="0"/>
        <v>0</v>
      </c>
      <c r="I59" s="414"/>
      <c r="J59" s="414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>
        <f t="shared" si="1"/>
        <v>0</v>
      </c>
    </row>
    <row r="60" spans="1:26" ht="15" hidden="1" customHeight="1" x14ac:dyDescent="0.25">
      <c r="A60" s="6"/>
      <c r="B60" s="483"/>
      <c r="C60" s="9"/>
      <c r="D60" s="414"/>
      <c r="E60" s="483"/>
      <c r="F60" s="414"/>
      <c r="G60" s="483">
        <f t="shared" si="0"/>
        <v>0</v>
      </c>
      <c r="H60" s="414">
        <f t="shared" si="0"/>
        <v>0</v>
      </c>
      <c r="I60" s="414"/>
      <c r="J60" s="414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>
        <f t="shared" si="1"/>
        <v>0</v>
      </c>
    </row>
    <row r="61" spans="1:26" ht="15" hidden="1" customHeight="1" x14ac:dyDescent="0.25">
      <c r="A61" s="6"/>
      <c r="B61" s="483"/>
      <c r="C61" s="9"/>
      <c r="D61" s="414"/>
      <c r="E61" s="483"/>
      <c r="F61" s="414"/>
      <c r="G61" s="483">
        <f t="shared" si="0"/>
        <v>0</v>
      </c>
      <c r="H61" s="414">
        <f t="shared" si="0"/>
        <v>0</v>
      </c>
      <c r="I61" s="414"/>
      <c r="J61" s="414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>
        <f t="shared" si="1"/>
        <v>0</v>
      </c>
    </row>
    <row r="62" spans="1:26" ht="15" hidden="1" customHeight="1" x14ac:dyDescent="0.25">
      <c r="A62" s="6"/>
      <c r="B62" s="483"/>
      <c r="C62" s="9"/>
      <c r="D62" s="414"/>
      <c r="E62" s="483"/>
      <c r="F62" s="414"/>
      <c r="G62" s="483">
        <f t="shared" si="0"/>
        <v>0</v>
      </c>
      <c r="H62" s="414">
        <f t="shared" si="0"/>
        <v>0</v>
      </c>
      <c r="I62" s="414"/>
      <c r="J62" s="414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>
        <f t="shared" si="1"/>
        <v>0</v>
      </c>
    </row>
    <row r="63" spans="1:26" ht="15" hidden="1" customHeight="1" x14ac:dyDescent="0.25">
      <c r="A63" s="6"/>
      <c r="B63" s="483"/>
      <c r="C63" s="9"/>
      <c r="D63" s="414"/>
      <c r="E63" s="483"/>
      <c r="F63" s="414"/>
      <c r="G63" s="483">
        <f t="shared" si="0"/>
        <v>0</v>
      </c>
      <c r="H63" s="414">
        <f t="shared" si="0"/>
        <v>0</v>
      </c>
      <c r="I63" s="414"/>
      <c r="J63" s="414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>
        <f t="shared" si="1"/>
        <v>0</v>
      </c>
    </row>
    <row r="64" spans="1:26" ht="15" hidden="1" customHeight="1" x14ac:dyDescent="0.25">
      <c r="A64" s="6"/>
      <c r="B64" s="483"/>
      <c r="C64" s="9"/>
      <c r="D64" s="414"/>
      <c r="E64" s="483"/>
      <c r="F64" s="414"/>
      <c r="G64" s="483">
        <f t="shared" si="0"/>
        <v>0</v>
      </c>
      <c r="H64" s="414">
        <f t="shared" si="0"/>
        <v>0</v>
      </c>
      <c r="I64" s="414"/>
      <c r="J64" s="414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>
        <f t="shared" si="1"/>
        <v>0</v>
      </c>
    </row>
    <row r="65" spans="1:26" ht="15" hidden="1" customHeight="1" x14ac:dyDescent="0.25">
      <c r="A65" s="6"/>
      <c r="B65" s="483"/>
      <c r="C65" s="9"/>
      <c r="D65" s="414"/>
      <c r="E65" s="483"/>
      <c r="F65" s="414"/>
      <c r="G65" s="483">
        <f t="shared" si="0"/>
        <v>0</v>
      </c>
      <c r="H65" s="414">
        <f t="shared" si="0"/>
        <v>0</v>
      </c>
      <c r="I65" s="414"/>
      <c r="J65" s="414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>
        <f t="shared" si="1"/>
        <v>0</v>
      </c>
    </row>
    <row r="66" spans="1:26" ht="15" hidden="1" customHeight="1" x14ac:dyDescent="0.25">
      <c r="A66" s="6"/>
      <c r="B66" s="483"/>
      <c r="C66" s="9"/>
      <c r="D66" s="414"/>
      <c r="E66" s="483"/>
      <c r="F66" s="414"/>
      <c r="G66" s="483">
        <f t="shared" si="0"/>
        <v>0</v>
      </c>
      <c r="H66" s="414">
        <f t="shared" si="0"/>
        <v>0</v>
      </c>
      <c r="I66" s="414"/>
      <c r="J66" s="414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>
        <f t="shared" si="1"/>
        <v>0</v>
      </c>
    </row>
    <row r="67" spans="1:26" ht="15" hidden="1" customHeight="1" x14ac:dyDescent="0.25">
      <c r="A67" s="6"/>
      <c r="B67" s="483"/>
      <c r="C67" s="9"/>
      <c r="D67" s="414"/>
      <c r="E67" s="483"/>
      <c r="F67" s="414"/>
      <c r="G67" s="483">
        <f t="shared" si="0"/>
        <v>0</v>
      </c>
      <c r="H67" s="414">
        <f t="shared" si="0"/>
        <v>0</v>
      </c>
      <c r="I67" s="414"/>
      <c r="J67" s="414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>
        <f t="shared" si="1"/>
        <v>0</v>
      </c>
    </row>
    <row r="68" spans="1:26" ht="15" hidden="1" customHeight="1" x14ac:dyDescent="0.25">
      <c r="A68" s="6"/>
      <c r="B68" s="483"/>
      <c r="C68" s="9"/>
      <c r="D68" s="414"/>
      <c r="E68" s="483"/>
      <c r="F68" s="414"/>
      <c r="G68" s="483">
        <f t="shared" si="0"/>
        <v>0</v>
      </c>
      <c r="H68" s="414">
        <f t="shared" si="0"/>
        <v>0</v>
      </c>
      <c r="I68" s="414"/>
      <c r="J68" s="414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>
        <f t="shared" si="1"/>
        <v>0</v>
      </c>
    </row>
    <row r="69" spans="1:26" ht="15" hidden="1" customHeight="1" x14ac:dyDescent="0.25">
      <c r="A69" s="6"/>
      <c r="B69" s="483"/>
      <c r="C69" s="9"/>
      <c r="D69" s="414"/>
      <c r="E69" s="483"/>
      <c r="F69" s="414"/>
      <c r="G69" s="483">
        <f t="shared" si="0"/>
        <v>0</v>
      </c>
      <c r="H69" s="414">
        <f t="shared" si="0"/>
        <v>0</v>
      </c>
      <c r="I69" s="414"/>
      <c r="J69" s="414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>
        <f t="shared" si="1"/>
        <v>0</v>
      </c>
    </row>
    <row r="70" spans="1:26" ht="15" hidden="1" customHeight="1" x14ac:dyDescent="0.25">
      <c r="A70" s="6"/>
      <c r="B70" s="483"/>
      <c r="C70" s="9"/>
      <c r="D70" s="414"/>
      <c r="E70" s="483"/>
      <c r="F70" s="414"/>
      <c r="G70" s="483">
        <f t="shared" si="0"/>
        <v>0</v>
      </c>
      <c r="H70" s="414">
        <f t="shared" si="0"/>
        <v>0</v>
      </c>
      <c r="I70" s="414"/>
      <c r="J70" s="414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>
        <f t="shared" si="1"/>
        <v>0</v>
      </c>
    </row>
    <row r="71" spans="1:26" ht="15" hidden="1" customHeight="1" x14ac:dyDescent="0.25">
      <c r="A71" s="6"/>
      <c r="B71" s="483"/>
      <c r="C71" s="9"/>
      <c r="D71" s="414"/>
      <c r="E71" s="483"/>
      <c r="F71" s="414"/>
      <c r="G71" s="483">
        <f t="shared" si="0"/>
        <v>0</v>
      </c>
      <c r="H71" s="414">
        <f t="shared" si="0"/>
        <v>0</v>
      </c>
      <c r="I71" s="414"/>
      <c r="J71" s="414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>
        <f t="shared" si="1"/>
        <v>0</v>
      </c>
    </row>
    <row r="72" spans="1:26" ht="15" hidden="1" customHeight="1" x14ac:dyDescent="0.25">
      <c r="A72" s="23"/>
      <c r="B72" s="483"/>
      <c r="C72" s="9"/>
      <c r="D72" s="414"/>
      <c r="E72" s="483"/>
      <c r="F72" s="414"/>
      <c r="G72" s="483">
        <f t="shared" si="0"/>
        <v>0</v>
      </c>
      <c r="H72" s="414">
        <f t="shared" si="0"/>
        <v>0</v>
      </c>
      <c r="I72" s="414"/>
      <c r="J72" s="414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>
        <f t="shared" si="1"/>
        <v>0</v>
      </c>
    </row>
    <row r="73" spans="1:26" ht="15" hidden="1" customHeight="1" x14ac:dyDescent="0.25">
      <c r="A73" s="6"/>
      <c r="B73" s="483"/>
      <c r="C73" s="9"/>
      <c r="D73" s="414"/>
      <c r="E73" s="483"/>
      <c r="F73" s="414"/>
      <c r="G73" s="483">
        <f t="shared" si="0"/>
        <v>0</v>
      </c>
      <c r="H73" s="414">
        <f t="shared" si="0"/>
        <v>0</v>
      </c>
      <c r="I73" s="414"/>
      <c r="J73" s="414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>
        <f t="shared" si="1"/>
        <v>0</v>
      </c>
    </row>
    <row r="74" spans="1:26" ht="15" hidden="1" customHeight="1" x14ac:dyDescent="0.25">
      <c r="A74" s="23"/>
      <c r="B74" s="483"/>
      <c r="C74" s="9"/>
      <c r="D74" s="414"/>
      <c r="E74" s="483"/>
      <c r="F74" s="414"/>
      <c r="G74" s="483">
        <f t="shared" si="0"/>
        <v>0</v>
      </c>
      <c r="H74" s="414">
        <f t="shared" si="0"/>
        <v>0</v>
      </c>
      <c r="I74" s="414"/>
      <c r="J74" s="414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>
        <f t="shared" si="1"/>
        <v>0</v>
      </c>
    </row>
    <row r="75" spans="1:26" ht="15" hidden="1" customHeight="1" x14ac:dyDescent="0.25">
      <c r="A75" s="6"/>
      <c r="B75" s="483"/>
      <c r="C75" s="9"/>
      <c r="D75" s="414"/>
      <c r="E75" s="483"/>
      <c r="F75" s="414"/>
      <c r="G75" s="483">
        <f t="shared" si="0"/>
        <v>0</v>
      </c>
      <c r="H75" s="414">
        <f t="shared" si="0"/>
        <v>0</v>
      </c>
      <c r="I75" s="414"/>
      <c r="J75" s="414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>
        <f t="shared" si="1"/>
        <v>0</v>
      </c>
    </row>
    <row r="76" spans="1:26" ht="15" hidden="1" customHeight="1" x14ac:dyDescent="0.25">
      <c r="A76" s="22"/>
      <c r="B76" s="483"/>
      <c r="C76" s="9"/>
      <c r="D76" s="414"/>
      <c r="E76" s="483"/>
      <c r="F76" s="414"/>
      <c r="G76" s="483">
        <f t="shared" si="0"/>
        <v>0</v>
      </c>
      <c r="H76" s="414">
        <f t="shared" si="0"/>
        <v>0</v>
      </c>
      <c r="I76" s="414"/>
      <c r="J76" s="414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>
        <f t="shared" si="1"/>
        <v>0</v>
      </c>
    </row>
    <row r="77" spans="1:26" ht="15" hidden="1" customHeight="1" x14ac:dyDescent="0.25">
      <c r="A77" s="6"/>
      <c r="B77" s="483"/>
      <c r="C77" s="9"/>
      <c r="D77" s="414"/>
      <c r="E77" s="483"/>
      <c r="F77" s="414"/>
      <c r="G77" s="483">
        <f t="shared" si="0"/>
        <v>0</v>
      </c>
      <c r="H77" s="414">
        <f t="shared" si="0"/>
        <v>0</v>
      </c>
      <c r="I77" s="414"/>
      <c r="J77" s="414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>
        <f t="shared" si="1"/>
        <v>0</v>
      </c>
    </row>
    <row r="78" spans="1:26" ht="15" hidden="1" customHeight="1" x14ac:dyDescent="0.25">
      <c r="A78" s="6"/>
      <c r="B78" s="483"/>
      <c r="C78" s="9"/>
      <c r="D78" s="414"/>
      <c r="E78" s="483"/>
      <c r="F78" s="414"/>
      <c r="G78" s="483">
        <f t="shared" si="0"/>
        <v>0</v>
      </c>
      <c r="H78" s="414">
        <f t="shared" si="0"/>
        <v>0</v>
      </c>
      <c r="I78" s="414"/>
      <c r="J78" s="414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>
        <f t="shared" si="1"/>
        <v>0</v>
      </c>
    </row>
    <row r="79" spans="1:26" ht="15" hidden="1" customHeight="1" x14ac:dyDescent="0.25">
      <c r="A79" s="6"/>
      <c r="B79" s="483"/>
      <c r="C79" s="9"/>
      <c r="D79" s="414"/>
      <c r="E79" s="483"/>
      <c r="F79" s="414"/>
      <c r="G79" s="483">
        <f t="shared" si="0"/>
        <v>0</v>
      </c>
      <c r="H79" s="414">
        <f t="shared" si="0"/>
        <v>0</v>
      </c>
      <c r="I79" s="414"/>
      <c r="J79" s="414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>
        <f t="shared" si="1"/>
        <v>0</v>
      </c>
    </row>
    <row r="80" spans="1:26" ht="15" hidden="1" customHeight="1" x14ac:dyDescent="0.25">
      <c r="A80" s="484"/>
      <c r="B80" s="483"/>
      <c r="C80" s="483"/>
      <c r="D80" s="414"/>
      <c r="E80" s="483"/>
      <c r="F80" s="414"/>
      <c r="G80" s="483">
        <f t="shared" si="0"/>
        <v>0</v>
      </c>
      <c r="H80" s="414">
        <f t="shared" si="0"/>
        <v>0</v>
      </c>
      <c r="I80" s="414"/>
      <c r="J80" s="414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>
        <f t="shared" si="1"/>
        <v>0</v>
      </c>
    </row>
    <row r="81" spans="1:26" ht="15" hidden="1" customHeight="1" x14ac:dyDescent="0.25">
      <c r="A81" s="483"/>
      <c r="B81" s="483"/>
      <c r="C81" s="483"/>
      <c r="D81" s="414"/>
      <c r="E81" s="483"/>
      <c r="F81" s="414"/>
      <c r="G81" s="483">
        <f t="shared" si="0"/>
        <v>0</v>
      </c>
      <c r="H81" s="414">
        <f t="shared" si="0"/>
        <v>0</v>
      </c>
      <c r="I81" s="414"/>
      <c r="J81" s="414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>
        <f t="shared" si="1"/>
        <v>0</v>
      </c>
    </row>
    <row r="82" spans="1:26" ht="15" customHeight="1" x14ac:dyDescent="0.25">
      <c r="A82" s="483"/>
      <c r="B82" s="483"/>
      <c r="C82" s="483"/>
      <c r="D82" s="414"/>
      <c r="E82" s="483"/>
      <c r="F82" s="414"/>
      <c r="G82" s="483">
        <f t="shared" si="0"/>
        <v>0</v>
      </c>
      <c r="H82" s="414">
        <f t="shared" si="0"/>
        <v>0</v>
      </c>
      <c r="I82" s="414"/>
      <c r="J82" s="414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>
        <f t="shared" si="1"/>
        <v>0</v>
      </c>
    </row>
    <row r="83" spans="1:26" ht="15" customHeight="1" x14ac:dyDescent="0.25">
      <c r="A83" s="483"/>
      <c r="B83" s="483"/>
      <c r="C83" s="483"/>
      <c r="D83" s="414"/>
      <c r="E83" s="483"/>
      <c r="F83" s="414"/>
      <c r="G83" s="483">
        <f t="shared" si="0"/>
        <v>0</v>
      </c>
      <c r="H83" s="414">
        <f t="shared" si="0"/>
        <v>0</v>
      </c>
      <c r="I83" s="414"/>
      <c r="J83" s="414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>
        <f t="shared" si="1"/>
        <v>0</v>
      </c>
    </row>
    <row r="84" spans="1:26" ht="15" customHeight="1" x14ac:dyDescent="0.25">
      <c r="A84" s="443" t="s">
        <v>1221</v>
      </c>
      <c r="B84" s="444"/>
      <c r="C84" s="447">
        <f t="shared" ref="C84:Z84" si="2">SUM(C5:C83)</f>
        <v>67</v>
      </c>
      <c r="D84" s="448">
        <f t="shared" si="2"/>
        <v>108277</v>
      </c>
      <c r="E84" s="447">
        <f t="shared" si="2"/>
        <v>67</v>
      </c>
      <c r="F84" s="466">
        <f t="shared" si="2"/>
        <v>115022</v>
      </c>
      <c r="G84" s="447">
        <f t="shared" si="2"/>
        <v>0</v>
      </c>
      <c r="H84" s="466">
        <f>SUM(H5:H83)</f>
        <v>6745</v>
      </c>
      <c r="I84" s="448">
        <f t="shared" si="2"/>
        <v>0</v>
      </c>
      <c r="J84" s="448">
        <f t="shared" si="2"/>
        <v>38601</v>
      </c>
      <c r="K84" s="447">
        <f t="shared" si="2"/>
        <v>0</v>
      </c>
      <c r="L84" s="447">
        <f t="shared" si="2"/>
        <v>0</v>
      </c>
      <c r="M84" s="447">
        <f t="shared" si="2"/>
        <v>0</v>
      </c>
      <c r="N84" s="447">
        <f t="shared" si="2"/>
        <v>0</v>
      </c>
      <c r="O84" s="447">
        <f t="shared" si="2"/>
        <v>0</v>
      </c>
      <c r="P84" s="447">
        <f t="shared" si="2"/>
        <v>0</v>
      </c>
      <c r="Q84" s="447">
        <f t="shared" si="2"/>
        <v>0</v>
      </c>
      <c r="R84" s="447">
        <f t="shared" si="2"/>
        <v>0</v>
      </c>
      <c r="S84" s="447">
        <f t="shared" si="2"/>
        <v>0</v>
      </c>
      <c r="T84" s="447">
        <f t="shared" si="2"/>
        <v>0</v>
      </c>
      <c r="U84" s="447">
        <f t="shared" si="2"/>
        <v>0</v>
      </c>
      <c r="V84" s="447">
        <f t="shared" si="2"/>
        <v>0</v>
      </c>
      <c r="W84" s="447">
        <f t="shared" si="2"/>
        <v>0</v>
      </c>
      <c r="X84" s="447">
        <f t="shared" si="2"/>
        <v>0</v>
      </c>
      <c r="Y84" s="447">
        <f t="shared" si="2"/>
        <v>0</v>
      </c>
      <c r="Z84" s="447">
        <f t="shared" si="2"/>
        <v>0</v>
      </c>
    </row>
    <row r="86" spans="1:26" x14ac:dyDescent="0.25">
      <c r="A86" s="739" t="s">
        <v>1227</v>
      </c>
      <c r="B86" s="739"/>
    </row>
    <row r="87" spans="1:26" ht="30" x14ac:dyDescent="0.25">
      <c r="A87" s="522" t="s">
        <v>1</v>
      </c>
      <c r="B87" s="522"/>
      <c r="C87" s="425" t="s">
        <v>1222</v>
      </c>
      <c r="D87" s="425" t="s">
        <v>1223</v>
      </c>
      <c r="E87" s="425" t="s">
        <v>392</v>
      </c>
      <c r="F87" s="426" t="s">
        <v>2</v>
      </c>
      <c r="G87" s="432" t="s">
        <v>1225</v>
      </c>
      <c r="H87" s="427" t="s">
        <v>1224</v>
      </c>
      <c r="I87" s="427" t="s">
        <v>1498</v>
      </c>
      <c r="J87" s="427" t="s">
        <v>94</v>
      </c>
      <c r="K87" s="424" t="s">
        <v>681</v>
      </c>
      <c r="L87" s="424" t="s">
        <v>1496</v>
      </c>
      <c r="M87" s="424" t="s">
        <v>1497</v>
      </c>
      <c r="N87" s="424" t="s">
        <v>682</v>
      </c>
      <c r="O87" s="424" t="s">
        <v>683</v>
      </c>
      <c r="P87" s="424" t="s">
        <v>87</v>
      </c>
      <c r="Q87" s="424" t="s">
        <v>684</v>
      </c>
      <c r="R87" s="424" t="s">
        <v>685</v>
      </c>
      <c r="S87" s="424" t="s">
        <v>690</v>
      </c>
      <c r="T87" s="424" t="s">
        <v>686</v>
      </c>
      <c r="U87" s="424" t="s">
        <v>687</v>
      </c>
      <c r="V87" s="424" t="s">
        <v>688</v>
      </c>
      <c r="W87" s="424" t="s">
        <v>689</v>
      </c>
      <c r="X87" s="424" t="s">
        <v>138</v>
      </c>
      <c r="Y87" s="424" t="s">
        <v>1385</v>
      </c>
      <c r="Z87" s="424" t="s">
        <v>1238</v>
      </c>
    </row>
    <row r="88" spans="1:26" ht="15" customHeight="1" x14ac:dyDescent="0.25">
      <c r="A88" s="543" t="s">
        <v>1511</v>
      </c>
      <c r="B88" s="535" t="s">
        <v>100</v>
      </c>
      <c r="C88" s="487">
        <v>42319</v>
      </c>
      <c r="D88" s="488">
        <v>42419</v>
      </c>
      <c r="E88" s="486">
        <v>96</v>
      </c>
      <c r="F88" s="488">
        <v>42419</v>
      </c>
      <c r="G88" s="486">
        <v>3</v>
      </c>
      <c r="H88" s="539">
        <v>4785</v>
      </c>
      <c r="I88" s="539">
        <v>5000</v>
      </c>
      <c r="J88" s="539">
        <v>1914</v>
      </c>
      <c r="K88" s="535">
        <v>1</v>
      </c>
      <c r="L88" s="535"/>
      <c r="M88" s="535"/>
      <c r="N88" s="535">
        <v>1</v>
      </c>
      <c r="O88" s="535">
        <v>1</v>
      </c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>
        <f t="shared" ref="Z88:Z95" si="3">SUM(K88:Y88)</f>
        <v>3</v>
      </c>
    </row>
    <row r="89" spans="1:26" ht="15" customHeight="1" x14ac:dyDescent="0.25">
      <c r="A89" s="543" t="s">
        <v>1516</v>
      </c>
      <c r="B89" s="483" t="s">
        <v>100</v>
      </c>
      <c r="C89" s="487">
        <v>42565</v>
      </c>
      <c r="D89" s="488">
        <v>42426</v>
      </c>
      <c r="E89" s="486">
        <v>192</v>
      </c>
      <c r="F89" s="488">
        <v>42309</v>
      </c>
      <c r="G89" s="486">
        <v>8</v>
      </c>
      <c r="H89" s="485">
        <f>12760+2200</f>
        <v>14960</v>
      </c>
      <c r="I89" s="485">
        <f>5000+2800</f>
        <v>7800</v>
      </c>
      <c r="J89" s="485">
        <v>5104</v>
      </c>
      <c r="K89" s="483">
        <v>1</v>
      </c>
      <c r="L89" s="483">
        <v>1</v>
      </c>
      <c r="M89" s="483"/>
      <c r="N89" s="483">
        <v>1</v>
      </c>
      <c r="O89" s="483">
        <v>1</v>
      </c>
      <c r="P89" s="483"/>
      <c r="Q89" s="483">
        <v>1</v>
      </c>
      <c r="R89" s="483"/>
      <c r="S89" s="483">
        <v>1</v>
      </c>
      <c r="T89" s="483">
        <v>1</v>
      </c>
      <c r="U89" s="483"/>
      <c r="V89" s="483">
        <v>1</v>
      </c>
      <c r="W89" s="483"/>
      <c r="X89" s="483"/>
      <c r="Y89" s="483"/>
      <c r="Z89" s="483">
        <f t="shared" si="3"/>
        <v>8</v>
      </c>
    </row>
    <row r="90" spans="1:26" ht="15" customHeight="1" x14ac:dyDescent="0.25">
      <c r="A90" s="543" t="s">
        <v>1518</v>
      </c>
      <c r="B90" s="483" t="s">
        <v>100</v>
      </c>
      <c r="C90" s="487">
        <v>42380</v>
      </c>
      <c r="D90" s="488">
        <v>42426</v>
      </c>
      <c r="E90" s="486">
        <v>45</v>
      </c>
      <c r="F90" s="488">
        <v>42416</v>
      </c>
      <c r="G90" s="486">
        <v>1</v>
      </c>
      <c r="H90" s="485">
        <v>1595</v>
      </c>
      <c r="I90" s="485">
        <v>5000</v>
      </c>
      <c r="J90" s="485">
        <v>638</v>
      </c>
      <c r="K90" s="483">
        <v>1</v>
      </c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>
        <f t="shared" si="3"/>
        <v>1</v>
      </c>
    </row>
    <row r="91" spans="1:26" ht="29.45" customHeight="1" x14ac:dyDescent="0.25">
      <c r="A91" s="543" t="s">
        <v>1520</v>
      </c>
      <c r="B91" s="483" t="s">
        <v>100</v>
      </c>
      <c r="C91" s="487">
        <v>42342</v>
      </c>
      <c r="D91" s="488">
        <v>42429</v>
      </c>
      <c r="E91" s="486">
        <v>25</v>
      </c>
      <c r="F91" s="488">
        <v>42410</v>
      </c>
      <c r="G91" s="486">
        <v>2</v>
      </c>
      <c r="H91" s="485">
        <v>3286</v>
      </c>
      <c r="I91" s="485">
        <v>5000</v>
      </c>
      <c r="J91" s="485">
        <v>1314</v>
      </c>
      <c r="K91" s="483"/>
      <c r="L91" s="483">
        <v>1</v>
      </c>
      <c r="M91" s="483"/>
      <c r="N91" s="483">
        <v>1</v>
      </c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>
        <f t="shared" si="3"/>
        <v>2</v>
      </c>
    </row>
    <row r="92" spans="1:26" ht="15" customHeight="1" x14ac:dyDescent="0.25">
      <c r="A92" s="484"/>
      <c r="B92" s="483"/>
      <c r="C92" s="487"/>
      <c r="D92" s="488"/>
      <c r="E92" s="486"/>
      <c r="F92" s="488"/>
      <c r="G92" s="486"/>
      <c r="H92" s="485"/>
      <c r="I92" s="485"/>
      <c r="J92" s="485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>
        <f t="shared" si="3"/>
        <v>0</v>
      </c>
    </row>
    <row r="93" spans="1:26" ht="15" customHeight="1" x14ac:dyDescent="0.25">
      <c r="A93" s="484"/>
      <c r="B93" s="483"/>
      <c r="C93" s="487"/>
      <c r="D93" s="488"/>
      <c r="E93" s="486"/>
      <c r="F93" s="488"/>
      <c r="G93" s="486"/>
      <c r="H93" s="485"/>
      <c r="I93" s="485"/>
      <c r="J93" s="485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>
        <f t="shared" si="3"/>
        <v>0</v>
      </c>
    </row>
    <row r="94" spans="1:26" ht="15" customHeight="1" x14ac:dyDescent="0.25">
      <c r="A94" s="484"/>
      <c r="B94" s="483"/>
      <c r="C94" s="487"/>
      <c r="D94" s="488"/>
      <c r="E94" s="486"/>
      <c r="F94" s="488"/>
      <c r="G94" s="486"/>
      <c r="H94" s="485"/>
      <c r="I94" s="456"/>
      <c r="J94" s="456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>
        <f t="shared" si="3"/>
        <v>0</v>
      </c>
    </row>
    <row r="95" spans="1:26" ht="15" customHeight="1" x14ac:dyDescent="0.25">
      <c r="A95" s="484"/>
      <c r="B95" s="483"/>
      <c r="C95" s="487"/>
      <c r="D95" s="488"/>
      <c r="E95" s="486"/>
      <c r="F95" s="488"/>
      <c r="G95" s="486"/>
      <c r="H95" s="485"/>
      <c r="I95" s="456"/>
      <c r="J95" s="456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>
        <f t="shared" si="3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SUM(G94:G95)</f>
        <v>0</v>
      </c>
      <c r="H96" s="448">
        <f>SUM(H88:H95)</f>
        <v>24626</v>
      </c>
      <c r="I96" s="448">
        <f t="shared" ref="I96:J96" si="4">SUM(I88:I95)</f>
        <v>22800</v>
      </c>
      <c r="J96" s="448">
        <f t="shared" si="4"/>
        <v>8970</v>
      </c>
      <c r="K96" s="447">
        <f>SUM(K88:K95)</f>
        <v>3</v>
      </c>
      <c r="L96" s="447">
        <f t="shared" ref="L96:Z96" si="5">SUM(L88:L95)</f>
        <v>2</v>
      </c>
      <c r="M96" s="447">
        <f t="shared" si="5"/>
        <v>0</v>
      </c>
      <c r="N96" s="447">
        <f t="shared" si="5"/>
        <v>3</v>
      </c>
      <c r="O96" s="447">
        <f t="shared" si="5"/>
        <v>2</v>
      </c>
      <c r="P96" s="447">
        <f t="shared" si="5"/>
        <v>0</v>
      </c>
      <c r="Q96" s="447">
        <f t="shared" si="5"/>
        <v>1</v>
      </c>
      <c r="R96" s="447">
        <f t="shared" si="5"/>
        <v>0</v>
      </c>
      <c r="S96" s="447">
        <f t="shared" si="5"/>
        <v>1</v>
      </c>
      <c r="T96" s="447">
        <f t="shared" si="5"/>
        <v>1</v>
      </c>
      <c r="U96" s="447">
        <f t="shared" si="5"/>
        <v>0</v>
      </c>
      <c r="V96" s="447">
        <f t="shared" si="5"/>
        <v>1</v>
      </c>
      <c r="W96" s="447">
        <f t="shared" si="5"/>
        <v>0</v>
      </c>
      <c r="X96" s="447">
        <f t="shared" si="5"/>
        <v>0</v>
      </c>
      <c r="Y96" s="447">
        <f t="shared" si="5"/>
        <v>0</v>
      </c>
      <c r="Z96" s="447">
        <f t="shared" si="5"/>
        <v>14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22" t="s">
        <v>1</v>
      </c>
      <c r="B99" s="522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43" t="s">
        <v>1508</v>
      </c>
      <c r="B100" s="483" t="s">
        <v>60</v>
      </c>
      <c r="C100" s="487">
        <v>42096</v>
      </c>
      <c r="D100" s="488">
        <v>42405</v>
      </c>
      <c r="E100" s="486">
        <v>303</v>
      </c>
      <c r="F100" s="488">
        <v>42408</v>
      </c>
      <c r="G100" s="486"/>
      <c r="H100" s="485">
        <v>2200</v>
      </c>
      <c r="I100" s="456">
        <v>2800</v>
      </c>
      <c r="J100" s="456">
        <v>0</v>
      </c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535">
        <f t="shared" ref="Z100:Z107" si="6">SUM(K100:Y100)</f>
        <v>0</v>
      </c>
    </row>
    <row r="101" spans="1:26" s="457" customFormat="1" ht="15" customHeight="1" x14ac:dyDescent="0.25">
      <c r="A101" s="484"/>
      <c r="B101" s="452"/>
      <c r="C101" s="453"/>
      <c r="D101" s="454"/>
      <c r="E101" s="455"/>
      <c r="F101" s="454"/>
      <c r="G101" s="455"/>
      <c r="H101" s="456"/>
      <c r="I101" s="456"/>
      <c r="J101" s="456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535">
        <f t="shared" si="6"/>
        <v>0</v>
      </c>
    </row>
    <row r="102" spans="1:26" s="457" customFormat="1" ht="15" customHeight="1" x14ac:dyDescent="0.25">
      <c r="A102" s="484"/>
      <c r="B102" s="452"/>
      <c r="C102" s="453"/>
      <c r="D102" s="454"/>
      <c r="E102" s="455"/>
      <c r="F102" s="454"/>
      <c r="G102" s="455"/>
      <c r="H102" s="456"/>
      <c r="I102" s="456"/>
      <c r="J102" s="456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535">
        <f t="shared" si="6"/>
        <v>0</v>
      </c>
    </row>
    <row r="103" spans="1:26" s="457" customFormat="1" ht="15" customHeight="1" x14ac:dyDescent="0.25">
      <c r="A103" s="484"/>
      <c r="B103" s="452"/>
      <c r="C103" s="453"/>
      <c r="D103" s="454"/>
      <c r="E103" s="455"/>
      <c r="F103" s="454"/>
      <c r="G103" s="455"/>
      <c r="H103" s="456"/>
      <c r="I103" s="456"/>
      <c r="J103" s="456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535">
        <f t="shared" si="6"/>
        <v>0</v>
      </c>
    </row>
    <row r="104" spans="1:26" s="457" customFormat="1" ht="15" customHeight="1" x14ac:dyDescent="0.25">
      <c r="A104" s="484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>
        <f t="shared" si="6"/>
        <v>0</v>
      </c>
    </row>
    <row r="105" spans="1:26" s="457" customFormat="1" ht="15" customHeight="1" x14ac:dyDescent="0.25">
      <c r="A105" s="484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6"/>
        <v>0</v>
      </c>
    </row>
    <row r="106" spans="1:26" s="457" customFormat="1" ht="15" customHeight="1" x14ac:dyDescent="0.25">
      <c r="A106" s="45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6"/>
        <v>0</v>
      </c>
    </row>
    <row r="107" spans="1:26" s="457" customFormat="1" ht="15" customHeight="1" x14ac:dyDescent="0.25">
      <c r="A107" s="45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>
        <f t="shared" si="6"/>
        <v>0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7">SUM(G100:G107)</f>
        <v>0</v>
      </c>
      <c r="H108" s="448">
        <f t="shared" si="7"/>
        <v>2200</v>
      </c>
      <c r="I108" s="448">
        <f>SUM(I100:I107)</f>
        <v>2800</v>
      </c>
      <c r="J108" s="448">
        <f>SUM(J100:J107)</f>
        <v>0</v>
      </c>
      <c r="K108" s="447">
        <f t="shared" si="7"/>
        <v>0</v>
      </c>
      <c r="L108" s="447">
        <f t="shared" si="7"/>
        <v>0</v>
      </c>
      <c r="M108" s="447">
        <f t="shared" si="7"/>
        <v>0</v>
      </c>
      <c r="N108" s="447">
        <f t="shared" si="7"/>
        <v>0</v>
      </c>
      <c r="O108" s="447">
        <f t="shared" si="7"/>
        <v>0</v>
      </c>
      <c r="P108" s="447">
        <f t="shared" si="7"/>
        <v>0</v>
      </c>
      <c r="Q108" s="447">
        <f t="shared" si="7"/>
        <v>0</v>
      </c>
      <c r="R108" s="447">
        <f t="shared" si="7"/>
        <v>0</v>
      </c>
      <c r="S108" s="447">
        <f t="shared" si="7"/>
        <v>0</v>
      </c>
      <c r="T108" s="447">
        <f t="shared" si="7"/>
        <v>0</v>
      </c>
      <c r="U108" s="447">
        <f t="shared" si="7"/>
        <v>0</v>
      </c>
      <c r="V108" s="447">
        <f t="shared" si="7"/>
        <v>0</v>
      </c>
      <c r="W108" s="447">
        <f t="shared" si="7"/>
        <v>0</v>
      </c>
      <c r="X108" s="447"/>
      <c r="Y108" s="447"/>
      <c r="Z108" s="447">
        <f t="shared" si="7"/>
        <v>0</v>
      </c>
    </row>
    <row r="110" spans="1:26" x14ac:dyDescent="0.25">
      <c r="A110" s="739" t="s">
        <v>1229</v>
      </c>
      <c r="B110" s="739"/>
    </row>
    <row r="111" spans="1:26" ht="30" x14ac:dyDescent="0.25">
      <c r="A111" s="522" t="s">
        <v>1</v>
      </c>
      <c r="B111" s="522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43" t="s">
        <v>161</v>
      </c>
      <c r="B112" s="452" t="s">
        <v>115</v>
      </c>
      <c r="C112" s="453">
        <v>42404</v>
      </c>
      <c r="D112" s="454">
        <v>42417</v>
      </c>
      <c r="E112" s="455">
        <v>13</v>
      </c>
      <c r="F112" s="454">
        <v>42370</v>
      </c>
      <c r="G112" s="455">
        <v>-2</v>
      </c>
      <c r="H112" s="456">
        <f>-3606</f>
        <v>-3606</v>
      </c>
      <c r="I112" s="456"/>
      <c r="J112" s="456">
        <v>-715</v>
      </c>
      <c r="K112" s="452"/>
      <c r="L112" s="452"/>
      <c r="M112" s="452"/>
      <c r="N112" s="452"/>
      <c r="O112" s="452"/>
      <c r="P112" s="452"/>
      <c r="Q112" s="452">
        <v>-1</v>
      </c>
      <c r="R112" s="452"/>
      <c r="S112" s="452"/>
      <c r="T112" s="452"/>
      <c r="U112" s="452">
        <v>-1</v>
      </c>
      <c r="V112" s="452"/>
      <c r="W112" s="452"/>
      <c r="X112" s="452"/>
      <c r="Y112" s="452"/>
      <c r="Z112" s="535">
        <f t="shared" ref="Z112:Z115" si="8">SUM(K112:Y112)</f>
        <v>-2</v>
      </c>
    </row>
    <row r="113" spans="1:26" ht="15" customHeight="1" x14ac:dyDescent="0.25">
      <c r="A113" s="543" t="s">
        <v>751</v>
      </c>
      <c r="B113" s="483" t="s">
        <v>100</v>
      </c>
      <c r="C113" s="487">
        <v>42388</v>
      </c>
      <c r="D113" s="488">
        <v>42422</v>
      </c>
      <c r="E113" s="486">
        <v>33</v>
      </c>
      <c r="F113" s="488">
        <v>42373</v>
      </c>
      <c r="G113" s="486">
        <v>-1</v>
      </c>
      <c r="H113" s="485">
        <v>-1595</v>
      </c>
      <c r="I113" s="485"/>
      <c r="J113" s="485">
        <v>-638</v>
      </c>
      <c r="K113" s="483"/>
      <c r="L113" s="483"/>
      <c r="M113" s="483"/>
      <c r="N113" s="483"/>
      <c r="O113" s="483"/>
      <c r="P113" s="483"/>
      <c r="Q113" s="483">
        <v>-1</v>
      </c>
      <c r="R113" s="483"/>
      <c r="S113" s="483"/>
      <c r="T113" s="483"/>
      <c r="U113" s="483"/>
      <c r="V113" s="483"/>
      <c r="W113" s="483"/>
      <c r="X113" s="483"/>
      <c r="Y113" s="483"/>
      <c r="Z113" s="535">
        <f t="shared" si="8"/>
        <v>-1</v>
      </c>
    </row>
    <row r="114" spans="1:26" ht="15" customHeight="1" x14ac:dyDescent="0.25">
      <c r="A114" s="543" t="s">
        <v>1512</v>
      </c>
      <c r="B114" s="483" t="s">
        <v>100</v>
      </c>
      <c r="C114" s="487">
        <v>42376</v>
      </c>
      <c r="D114" s="488">
        <v>42422</v>
      </c>
      <c r="E114" s="486">
        <v>45</v>
      </c>
      <c r="F114" s="488">
        <v>42422</v>
      </c>
      <c r="G114" s="486"/>
      <c r="H114" s="485">
        <f>-4400</f>
        <v>-4400</v>
      </c>
      <c r="I114" s="485">
        <f>-2800-2800</f>
        <v>-5600</v>
      </c>
      <c r="J114" s="485">
        <v>0</v>
      </c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535">
        <f t="shared" si="8"/>
        <v>0</v>
      </c>
    </row>
    <row r="115" spans="1:26" ht="15" customHeight="1" x14ac:dyDescent="0.25">
      <c r="A115" s="543" t="s">
        <v>1515</v>
      </c>
      <c r="B115" s="535" t="s">
        <v>100</v>
      </c>
      <c r="C115" s="487">
        <v>42403</v>
      </c>
      <c r="D115" s="488">
        <v>42426</v>
      </c>
      <c r="E115" s="486">
        <v>45</v>
      </c>
      <c r="F115" s="488">
        <v>42422</v>
      </c>
      <c r="G115" s="486"/>
      <c r="H115" s="539">
        <v>-2200</v>
      </c>
      <c r="I115" s="539">
        <v>0</v>
      </c>
      <c r="J115" s="539">
        <v>0</v>
      </c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>
        <f t="shared" si="8"/>
        <v>0</v>
      </c>
    </row>
    <row r="116" spans="1:26" ht="15" customHeight="1" x14ac:dyDescent="0.25">
      <c r="A116" s="443" t="s">
        <v>1230</v>
      </c>
      <c r="B116" s="444"/>
      <c r="C116" s="445"/>
      <c r="D116" s="446"/>
      <c r="E116" s="447"/>
      <c r="F116" s="446"/>
      <c r="G116" s="447">
        <f>SUM(G112:G114)</f>
        <v>-3</v>
      </c>
      <c r="H116" s="448">
        <f>SUM(H112:H115)</f>
        <v>-11801</v>
      </c>
      <c r="I116" s="448">
        <f>SUM(I112:I115)</f>
        <v>-5600</v>
      </c>
      <c r="J116" s="448">
        <f>SUM(J112:J115)</f>
        <v>-1353</v>
      </c>
      <c r="K116" s="447">
        <f>SUM(K112:K115)</f>
        <v>0</v>
      </c>
      <c r="L116" s="447">
        <f t="shared" ref="L116:Z116" si="9">SUM(L112:L115)</f>
        <v>0</v>
      </c>
      <c r="M116" s="447">
        <f t="shared" si="9"/>
        <v>0</v>
      </c>
      <c r="N116" s="447">
        <f t="shared" si="9"/>
        <v>0</v>
      </c>
      <c r="O116" s="447">
        <f t="shared" si="9"/>
        <v>0</v>
      </c>
      <c r="P116" s="447">
        <f t="shared" si="9"/>
        <v>0</v>
      </c>
      <c r="Q116" s="447">
        <f t="shared" si="9"/>
        <v>-2</v>
      </c>
      <c r="R116" s="447">
        <f t="shared" si="9"/>
        <v>0</v>
      </c>
      <c r="S116" s="447">
        <f t="shared" si="9"/>
        <v>0</v>
      </c>
      <c r="T116" s="447">
        <f t="shared" si="9"/>
        <v>0</v>
      </c>
      <c r="U116" s="447">
        <f t="shared" si="9"/>
        <v>-1</v>
      </c>
      <c r="V116" s="447">
        <f t="shared" si="9"/>
        <v>0</v>
      </c>
      <c r="W116" s="447">
        <f t="shared" si="9"/>
        <v>0</v>
      </c>
      <c r="X116" s="447">
        <f t="shared" si="9"/>
        <v>0</v>
      </c>
      <c r="Y116" s="447">
        <f t="shared" si="9"/>
        <v>0</v>
      </c>
      <c r="Z116" s="447">
        <f t="shared" si="9"/>
        <v>-3</v>
      </c>
    </row>
    <row r="118" spans="1:26" x14ac:dyDescent="0.25">
      <c r="A118" s="739" t="s">
        <v>1231</v>
      </c>
      <c r="B118" s="739"/>
    </row>
    <row r="119" spans="1:26" ht="30" x14ac:dyDescent="0.25">
      <c r="A119" s="522" t="s">
        <v>1</v>
      </c>
      <c r="B119" s="522" t="s">
        <v>59</v>
      </c>
      <c r="C119" s="425"/>
      <c r="D119" s="425"/>
      <c r="E119" s="425"/>
      <c r="F119" s="426"/>
      <c r="G119" s="432" t="s">
        <v>1225</v>
      </c>
      <c r="H119" s="427" t="s">
        <v>1224</v>
      </c>
      <c r="I119" s="427" t="s">
        <v>1498</v>
      </c>
      <c r="J119" s="427" t="s">
        <v>94</v>
      </c>
      <c r="K119" s="424" t="s">
        <v>681</v>
      </c>
      <c r="L119" s="424" t="s">
        <v>1496</v>
      </c>
      <c r="M119" s="424" t="s">
        <v>1497</v>
      </c>
      <c r="N119" s="424" t="s">
        <v>682</v>
      </c>
      <c r="O119" s="424" t="s">
        <v>683</v>
      </c>
      <c r="P119" s="424" t="s">
        <v>87</v>
      </c>
      <c r="Q119" s="424" t="s">
        <v>684</v>
      </c>
      <c r="R119" s="424" t="s">
        <v>685</v>
      </c>
      <c r="S119" s="424" t="s">
        <v>690</v>
      </c>
      <c r="T119" s="424" t="s">
        <v>686</v>
      </c>
      <c r="U119" s="424" t="s">
        <v>687</v>
      </c>
      <c r="V119" s="424" t="s">
        <v>688</v>
      </c>
      <c r="W119" s="424" t="s">
        <v>689</v>
      </c>
      <c r="X119" s="424" t="s">
        <v>138</v>
      </c>
      <c r="Y119" s="424" t="s">
        <v>1385</v>
      </c>
      <c r="Z119" s="424" t="s">
        <v>1238</v>
      </c>
    </row>
    <row r="120" spans="1:26" ht="15" customHeight="1" x14ac:dyDescent="0.25">
      <c r="A120" s="484"/>
      <c r="B120" s="483"/>
      <c r="C120" s="487"/>
      <c r="D120" s="488"/>
      <c r="E120" s="486"/>
      <c r="F120" s="488"/>
      <c r="G120" s="486"/>
      <c r="H120" s="485"/>
      <c r="I120" s="485"/>
      <c r="J120" s="485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483"/>
      <c r="W120" s="483"/>
      <c r="X120" s="483"/>
      <c r="Y120" s="483"/>
      <c r="Z120" s="535">
        <f t="shared" ref="Z120:Z122" si="10">SUM(K120:Y120)</f>
        <v>0</v>
      </c>
    </row>
    <row r="121" spans="1:26" ht="15" customHeight="1" x14ac:dyDescent="0.25">
      <c r="A121" s="484"/>
      <c r="B121" s="483"/>
      <c r="C121" s="487"/>
      <c r="D121" s="488"/>
      <c r="E121" s="486"/>
      <c r="F121" s="488"/>
      <c r="G121" s="486"/>
      <c r="H121" s="485"/>
      <c r="I121" s="485"/>
      <c r="J121" s="485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83"/>
      <c r="Y121" s="483"/>
      <c r="Z121" s="535">
        <f t="shared" si="10"/>
        <v>0</v>
      </c>
    </row>
    <row r="122" spans="1:26" ht="15" customHeight="1" x14ac:dyDescent="0.25">
      <c r="A122" s="484"/>
      <c r="B122" s="483"/>
      <c r="C122" s="487"/>
      <c r="D122" s="488"/>
      <c r="E122" s="486"/>
      <c r="F122" s="488"/>
      <c r="G122" s="486"/>
      <c r="H122" s="485"/>
      <c r="I122" s="485"/>
      <c r="J122" s="485"/>
      <c r="K122" s="483"/>
      <c r="L122" s="483"/>
      <c r="M122" s="483"/>
      <c r="N122" s="483"/>
      <c r="O122" s="483"/>
      <c r="P122" s="483"/>
      <c r="Q122" s="483"/>
      <c r="R122" s="483"/>
      <c r="S122" s="483"/>
      <c r="T122" s="483"/>
      <c r="U122" s="483"/>
      <c r="V122" s="483"/>
      <c r="W122" s="483"/>
      <c r="X122" s="483"/>
      <c r="Y122" s="483"/>
      <c r="Z122" s="535">
        <f t="shared" si="10"/>
        <v>0</v>
      </c>
    </row>
    <row r="123" spans="1:26" ht="15" customHeight="1" x14ac:dyDescent="0.25">
      <c r="A123" s="443" t="s">
        <v>1230</v>
      </c>
      <c r="B123" s="444"/>
      <c r="C123" s="445"/>
      <c r="D123" s="446"/>
      <c r="E123" s="447"/>
      <c r="F123" s="446"/>
      <c r="G123" s="447">
        <f>SUM(G120:G122)</f>
        <v>0</v>
      </c>
      <c r="H123" s="448">
        <f>SUM(H120:H122)</f>
        <v>0</v>
      </c>
      <c r="I123" s="448">
        <f t="shared" ref="I123:Z123" si="11">SUM(I120:I122)</f>
        <v>0</v>
      </c>
      <c r="J123" s="448">
        <f t="shared" si="11"/>
        <v>0</v>
      </c>
      <c r="K123" s="447">
        <f t="shared" si="11"/>
        <v>0</v>
      </c>
      <c r="L123" s="447">
        <f t="shared" si="11"/>
        <v>0</v>
      </c>
      <c r="M123" s="447">
        <f t="shared" si="11"/>
        <v>0</v>
      </c>
      <c r="N123" s="447">
        <f t="shared" si="11"/>
        <v>0</v>
      </c>
      <c r="O123" s="447">
        <f t="shared" si="11"/>
        <v>0</v>
      </c>
      <c r="P123" s="447">
        <f t="shared" si="11"/>
        <v>0</v>
      </c>
      <c r="Q123" s="447">
        <f t="shared" si="11"/>
        <v>0</v>
      </c>
      <c r="R123" s="447">
        <f t="shared" si="11"/>
        <v>0</v>
      </c>
      <c r="S123" s="447">
        <f t="shared" si="11"/>
        <v>0</v>
      </c>
      <c r="T123" s="447">
        <f t="shared" si="11"/>
        <v>0</v>
      </c>
      <c r="U123" s="447">
        <f t="shared" si="11"/>
        <v>0</v>
      </c>
      <c r="V123" s="447">
        <f t="shared" si="11"/>
        <v>0</v>
      </c>
      <c r="W123" s="447">
        <f t="shared" si="11"/>
        <v>0</v>
      </c>
      <c r="X123" s="447"/>
      <c r="Y123" s="447"/>
      <c r="Z123" s="447">
        <f t="shared" si="11"/>
        <v>0</v>
      </c>
    </row>
    <row r="124" spans="1:26" ht="15.75" thickBot="1" x14ac:dyDescent="0.3"/>
    <row r="125" spans="1:26" ht="15.75" thickBot="1" x14ac:dyDescent="0.3">
      <c r="A125" s="436" t="s">
        <v>1232</v>
      </c>
      <c r="B125" s="434"/>
      <c r="C125" s="434"/>
      <c r="D125" s="434"/>
      <c r="E125" s="434"/>
      <c r="F125" s="434"/>
      <c r="G125" s="437">
        <f t="shared" ref="G125:Z125" si="12">G84+G96+G108+G116+G123</f>
        <v>-3</v>
      </c>
      <c r="H125" s="438">
        <f t="shared" si="12"/>
        <v>21770</v>
      </c>
      <c r="I125" s="438">
        <f t="shared" si="12"/>
        <v>20000</v>
      </c>
      <c r="J125" s="438">
        <f t="shared" si="12"/>
        <v>46218</v>
      </c>
      <c r="K125" s="450">
        <f t="shared" si="12"/>
        <v>3</v>
      </c>
      <c r="L125" s="450">
        <f>L84+L96+L108+L116+L123</f>
        <v>2</v>
      </c>
      <c r="M125" s="450">
        <f t="shared" si="12"/>
        <v>0</v>
      </c>
      <c r="N125" s="450">
        <f t="shared" si="12"/>
        <v>3</v>
      </c>
      <c r="O125" s="450">
        <f t="shared" si="12"/>
        <v>2</v>
      </c>
      <c r="P125" s="450">
        <f t="shared" si="12"/>
        <v>0</v>
      </c>
      <c r="Q125" s="450">
        <f t="shared" si="12"/>
        <v>-1</v>
      </c>
      <c r="R125" s="450">
        <f t="shared" si="12"/>
        <v>0</v>
      </c>
      <c r="S125" s="450">
        <f t="shared" si="12"/>
        <v>1</v>
      </c>
      <c r="T125" s="450">
        <f t="shared" si="12"/>
        <v>1</v>
      </c>
      <c r="U125" s="450">
        <f t="shared" si="12"/>
        <v>-1</v>
      </c>
      <c r="V125" s="450">
        <f t="shared" si="12"/>
        <v>1</v>
      </c>
      <c r="W125" s="450">
        <f t="shared" si="12"/>
        <v>0</v>
      </c>
      <c r="X125" s="450"/>
      <c r="Y125" s="450"/>
      <c r="Z125" s="450">
        <f t="shared" si="12"/>
        <v>11</v>
      </c>
    </row>
    <row r="126" spans="1:26" ht="15.75" thickBot="1" x14ac:dyDescent="0.3">
      <c r="A126" s="436" t="s">
        <v>64</v>
      </c>
      <c r="B126" s="434"/>
      <c r="C126" s="434"/>
      <c r="D126" s="434"/>
      <c r="E126" s="434"/>
      <c r="F126" s="434"/>
      <c r="G126" s="437"/>
      <c r="H126" s="438"/>
      <c r="I126" s="438"/>
      <c r="J126" s="438"/>
    </row>
    <row r="127" spans="1:26" ht="15.75" thickBot="1" x14ac:dyDescent="0.3">
      <c r="A127" s="439" t="s">
        <v>452</v>
      </c>
      <c r="B127" s="440"/>
      <c r="C127" s="440"/>
      <c r="D127" s="440"/>
      <c r="E127" s="440"/>
      <c r="F127" s="440"/>
      <c r="G127" s="441"/>
      <c r="H127" s="442">
        <f>H125-H126</f>
        <v>21770</v>
      </c>
      <c r="I127" s="442"/>
      <c r="J127" s="442"/>
    </row>
    <row r="128" spans="1:26" x14ac:dyDescent="0.25">
      <c r="J128" s="419" t="s">
        <v>385</v>
      </c>
      <c r="K128" s="520">
        <f>K96+K108</f>
        <v>3</v>
      </c>
      <c r="L128" s="520">
        <f t="shared" ref="L128:Z128" si="13">L96+L108</f>
        <v>2</v>
      </c>
      <c r="M128" s="520">
        <f t="shared" si="13"/>
        <v>0</v>
      </c>
      <c r="N128" s="520">
        <f t="shared" si="13"/>
        <v>3</v>
      </c>
      <c r="O128" s="520">
        <f t="shared" si="13"/>
        <v>2</v>
      </c>
      <c r="P128" s="520">
        <f t="shared" si="13"/>
        <v>0</v>
      </c>
      <c r="Q128" s="520">
        <f t="shared" si="13"/>
        <v>1</v>
      </c>
      <c r="R128" s="520">
        <f t="shared" si="13"/>
        <v>0</v>
      </c>
      <c r="S128" s="520">
        <f t="shared" si="13"/>
        <v>1</v>
      </c>
      <c r="T128" s="520">
        <f t="shared" si="13"/>
        <v>1</v>
      </c>
      <c r="U128" s="520">
        <f t="shared" si="13"/>
        <v>0</v>
      </c>
      <c r="V128" s="520">
        <f t="shared" si="13"/>
        <v>1</v>
      </c>
      <c r="W128" s="520">
        <f t="shared" si="13"/>
        <v>0</v>
      </c>
      <c r="X128" s="520">
        <f t="shared" si="13"/>
        <v>0</v>
      </c>
      <c r="Y128" s="520">
        <f t="shared" si="13"/>
        <v>0</v>
      </c>
      <c r="Z128" s="520">
        <f t="shared" si="13"/>
        <v>14</v>
      </c>
    </row>
    <row r="129" spans="8:26" x14ac:dyDescent="0.25">
      <c r="J129" s="419" t="s">
        <v>1522</v>
      </c>
      <c r="K129" s="520">
        <f>K123+K116</f>
        <v>0</v>
      </c>
      <c r="L129" s="520">
        <f t="shared" ref="L129:Z129" si="14">L123+L116</f>
        <v>0</v>
      </c>
      <c r="M129" s="520">
        <f t="shared" si="14"/>
        <v>0</v>
      </c>
      <c r="N129" s="520">
        <f t="shared" si="14"/>
        <v>0</v>
      </c>
      <c r="O129" s="520">
        <f t="shared" si="14"/>
        <v>0</v>
      </c>
      <c r="P129" s="520">
        <f t="shared" si="14"/>
        <v>0</v>
      </c>
      <c r="Q129" s="520">
        <f t="shared" si="14"/>
        <v>-2</v>
      </c>
      <c r="R129" s="520">
        <f t="shared" si="14"/>
        <v>0</v>
      </c>
      <c r="S129" s="520">
        <f t="shared" si="14"/>
        <v>0</v>
      </c>
      <c r="T129" s="520">
        <f t="shared" si="14"/>
        <v>0</v>
      </c>
      <c r="U129" s="520">
        <f t="shared" si="14"/>
        <v>-1</v>
      </c>
      <c r="V129" s="520">
        <f t="shared" si="14"/>
        <v>0</v>
      </c>
      <c r="W129" s="520">
        <f t="shared" si="14"/>
        <v>0</v>
      </c>
      <c r="X129" s="520">
        <f t="shared" si="14"/>
        <v>0</v>
      </c>
      <c r="Y129" s="520">
        <f t="shared" si="14"/>
        <v>0</v>
      </c>
      <c r="Z129" s="520">
        <f t="shared" si="14"/>
        <v>-3</v>
      </c>
    </row>
    <row r="130" spans="8:26" x14ac:dyDescent="0.25">
      <c r="H130" s="435">
        <f>H84+H108+H116+H123</f>
        <v>-2856</v>
      </c>
      <c r="I130" s="435"/>
      <c r="J130" s="435" t="s">
        <v>1523</v>
      </c>
      <c r="V130" s="520">
        <f>SUM(K128:V128)</f>
        <v>14</v>
      </c>
    </row>
    <row r="131" spans="8:26" x14ac:dyDescent="0.25">
      <c r="J131" s="419" t="s">
        <v>1524</v>
      </c>
      <c r="V131" s="520">
        <f>SUM(K129:V129)</f>
        <v>-3</v>
      </c>
    </row>
    <row r="132" spans="8:26" x14ac:dyDescent="0.25">
      <c r="J132" s="419" t="s">
        <v>1525</v>
      </c>
      <c r="Y132" s="419">
        <v>0</v>
      </c>
    </row>
    <row r="133" spans="8:26" x14ac:dyDescent="0.25">
      <c r="J133" s="419" t="s">
        <v>1526</v>
      </c>
      <c r="Y133" s="419">
        <v>0</v>
      </c>
    </row>
  </sheetData>
  <sortState ref="A101:Z103">
    <sortCondition ref="A101:A103"/>
  </sortState>
  <mergeCells count="8">
    <mergeCell ref="G3:H3"/>
    <mergeCell ref="A86:B86"/>
    <mergeCell ref="A98:B98"/>
    <mergeCell ref="A110:B110"/>
    <mergeCell ref="A118:B118"/>
    <mergeCell ref="A3:B3"/>
    <mergeCell ref="C3:D3"/>
    <mergeCell ref="E3:F3"/>
  </mergeCells>
  <pageMargins left="0.7" right="0.7" top="0.75" bottom="0.75" header="0.3" footer="0.3"/>
  <pageSetup scale="33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32"/>
  <sheetViews>
    <sheetView topLeftCell="A82" zoomScale="80" zoomScaleNormal="80" workbookViewId="0">
      <selection activeCell="J115" sqref="J115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7" width="11.85546875" style="419" customWidth="1"/>
    <col min="8" max="8" width="13.42578125" style="419" bestFit="1" customWidth="1"/>
    <col min="9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28" t="s">
        <v>1</v>
      </c>
      <c r="B4" s="52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1253</v>
      </c>
      <c r="B5" s="531" t="s">
        <v>115</v>
      </c>
      <c r="C5" s="531">
        <v>6</v>
      </c>
      <c r="D5" s="542">
        <v>7995</v>
      </c>
      <c r="E5" s="483">
        <v>6</v>
      </c>
      <c r="F5" s="414">
        <v>8234</v>
      </c>
      <c r="G5" s="483">
        <f>E5-C5</f>
        <v>0</v>
      </c>
      <c r="H5" s="414">
        <f>F5-D5</f>
        <v>239</v>
      </c>
      <c r="I5" s="414"/>
      <c r="J5" s="414">
        <v>3294</v>
      </c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>
        <f>SUM(K5:Y5)</f>
        <v>0</v>
      </c>
    </row>
    <row r="6" spans="1:26" ht="14.45" customHeight="1" x14ac:dyDescent="0.25">
      <c r="A6" s="530" t="s">
        <v>1259</v>
      </c>
      <c r="B6" s="530" t="s">
        <v>100</v>
      </c>
      <c r="C6" s="531">
        <v>6</v>
      </c>
      <c r="D6" s="542">
        <v>9570</v>
      </c>
      <c r="E6" s="483">
        <v>6</v>
      </c>
      <c r="F6" s="414">
        <v>9858</v>
      </c>
      <c r="G6" s="483">
        <f t="shared" ref="G6:H83" si="0">E6-C6</f>
        <v>0</v>
      </c>
      <c r="H6" s="414">
        <f t="shared" si="0"/>
        <v>288</v>
      </c>
      <c r="I6" s="414"/>
      <c r="J6" s="414">
        <v>3943</v>
      </c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>
        <f t="shared" ref="Z6:Z83" si="1">SUM(K6:Y6)</f>
        <v>0</v>
      </c>
    </row>
    <row r="7" spans="1:26" ht="14.45" customHeight="1" x14ac:dyDescent="0.25">
      <c r="A7" s="530" t="s">
        <v>176</v>
      </c>
      <c r="B7" s="530" t="s">
        <v>115</v>
      </c>
      <c r="C7" s="531">
        <v>2</v>
      </c>
      <c r="D7" s="542">
        <v>3190</v>
      </c>
      <c r="E7" s="483">
        <v>2</v>
      </c>
      <c r="F7" s="414">
        <v>3286</v>
      </c>
      <c r="G7" s="483">
        <f t="shared" si="0"/>
        <v>0</v>
      </c>
      <c r="H7" s="414">
        <f t="shared" si="0"/>
        <v>96</v>
      </c>
      <c r="I7" s="414"/>
      <c r="J7" s="414">
        <v>1314</v>
      </c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>
        <f t="shared" si="1"/>
        <v>0</v>
      </c>
    </row>
    <row r="8" spans="1:26" ht="14.45" customHeight="1" x14ac:dyDescent="0.25">
      <c r="A8" s="530" t="s">
        <v>221</v>
      </c>
      <c r="B8" s="530" t="s">
        <v>100</v>
      </c>
      <c r="C8" s="531">
        <v>7</v>
      </c>
      <c r="D8" s="542">
        <v>11281.5</v>
      </c>
      <c r="E8" s="483">
        <v>7</v>
      </c>
      <c r="F8" s="414">
        <v>11619</v>
      </c>
      <c r="G8" s="483">
        <f t="shared" si="0"/>
        <v>0</v>
      </c>
      <c r="H8" s="414">
        <f t="shared" si="0"/>
        <v>337.5</v>
      </c>
      <c r="I8" s="414"/>
      <c r="J8" s="414">
        <v>4000</v>
      </c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>
        <f t="shared" si="1"/>
        <v>0</v>
      </c>
    </row>
    <row r="9" spans="1:26" ht="14.45" customHeight="1" x14ac:dyDescent="0.25">
      <c r="A9" s="533" t="s">
        <v>274</v>
      </c>
      <c r="B9" s="531" t="s">
        <v>115</v>
      </c>
      <c r="C9" s="531">
        <v>6</v>
      </c>
      <c r="D9" s="542">
        <v>13290</v>
      </c>
      <c r="E9" s="483">
        <v>6</v>
      </c>
      <c r="F9" s="414">
        <v>13133</v>
      </c>
      <c r="G9" s="483">
        <f t="shared" si="0"/>
        <v>0</v>
      </c>
      <c r="H9" s="414">
        <f t="shared" si="0"/>
        <v>-157</v>
      </c>
      <c r="I9" s="414"/>
      <c r="J9" s="414">
        <v>4000</v>
      </c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>
        <f t="shared" si="1"/>
        <v>0</v>
      </c>
    </row>
    <row r="10" spans="1:26" ht="14.45" customHeight="1" x14ac:dyDescent="0.25">
      <c r="A10" s="530" t="s">
        <v>18</v>
      </c>
      <c r="B10" s="530" t="s">
        <v>100</v>
      </c>
      <c r="C10" s="531">
        <v>7</v>
      </c>
      <c r="D10" s="542">
        <v>12995.5</v>
      </c>
      <c r="E10" s="531">
        <v>6</v>
      </c>
      <c r="F10" s="542">
        <f>9237+2200</f>
        <v>11437</v>
      </c>
      <c r="G10" s="483">
        <f t="shared" si="0"/>
        <v>-1</v>
      </c>
      <c r="H10" s="414">
        <f t="shared" si="0"/>
        <v>-1558.5</v>
      </c>
      <c r="I10" s="414"/>
      <c r="J10" s="414">
        <v>3695</v>
      </c>
      <c r="K10" s="483"/>
      <c r="L10" s="483"/>
      <c r="M10" s="483"/>
      <c r="N10" s="483"/>
      <c r="O10" s="483"/>
      <c r="P10" s="483"/>
      <c r="Q10" s="483"/>
      <c r="R10" s="483"/>
      <c r="S10" s="483">
        <v>-1</v>
      </c>
      <c r="T10" s="483"/>
      <c r="U10" s="483"/>
      <c r="V10" s="483"/>
      <c r="W10" s="483"/>
      <c r="X10" s="483"/>
      <c r="Y10" s="483"/>
      <c r="Z10" s="483">
        <f t="shared" si="1"/>
        <v>-1</v>
      </c>
    </row>
    <row r="11" spans="1:26" ht="14.45" customHeight="1" x14ac:dyDescent="0.25">
      <c r="A11" s="531" t="s">
        <v>19</v>
      </c>
      <c r="B11" s="531" t="s">
        <v>100</v>
      </c>
      <c r="C11" s="531">
        <v>8</v>
      </c>
      <c r="D11" s="542">
        <v>13032</v>
      </c>
      <c r="E11" s="531">
        <v>7</v>
      </c>
      <c r="F11" s="542">
        <v>11619</v>
      </c>
      <c r="G11" s="483">
        <f t="shared" si="0"/>
        <v>-1</v>
      </c>
      <c r="H11" s="414">
        <f t="shared" si="0"/>
        <v>-1413</v>
      </c>
      <c r="I11" s="414"/>
      <c r="J11" s="414">
        <v>4000</v>
      </c>
      <c r="K11" s="483"/>
      <c r="L11" s="483"/>
      <c r="M11" s="483"/>
      <c r="N11" s="483"/>
      <c r="O11" s="483"/>
      <c r="P11" s="483"/>
      <c r="Q11" s="483"/>
      <c r="R11" s="483"/>
      <c r="S11" s="483">
        <v>-1</v>
      </c>
      <c r="T11" s="483"/>
      <c r="U11" s="483"/>
      <c r="V11" s="483"/>
      <c r="W11" s="483"/>
      <c r="X11" s="483"/>
      <c r="Y11" s="483"/>
      <c r="Z11" s="483">
        <f t="shared" si="1"/>
        <v>-1</v>
      </c>
    </row>
    <row r="12" spans="1:26" ht="14.45" customHeight="1" x14ac:dyDescent="0.25">
      <c r="A12" s="531" t="s">
        <v>20</v>
      </c>
      <c r="B12" s="531" t="s">
        <v>100</v>
      </c>
      <c r="C12" s="531">
        <v>5</v>
      </c>
      <c r="D12" s="542">
        <v>7780.5</v>
      </c>
      <c r="E12" s="531">
        <v>5</v>
      </c>
      <c r="F12" s="542">
        <v>8903</v>
      </c>
      <c r="G12" s="483">
        <f t="shared" si="0"/>
        <v>0</v>
      </c>
      <c r="H12" s="414">
        <f t="shared" si="0"/>
        <v>1122.5</v>
      </c>
      <c r="I12" s="414"/>
      <c r="J12" s="414">
        <v>3561</v>
      </c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>
        <f t="shared" si="1"/>
        <v>0</v>
      </c>
    </row>
    <row r="13" spans="1:26" ht="14.45" customHeight="1" x14ac:dyDescent="0.25">
      <c r="A13" s="531" t="s">
        <v>21</v>
      </c>
      <c r="B13" s="530" t="s">
        <v>100</v>
      </c>
      <c r="C13" s="531">
        <v>8</v>
      </c>
      <c r="D13" s="542">
        <v>10791</v>
      </c>
      <c r="E13" s="483">
        <v>8</v>
      </c>
      <c r="F13" s="414">
        <v>11615</v>
      </c>
      <c r="G13" s="483">
        <f t="shared" si="0"/>
        <v>0</v>
      </c>
      <c r="H13" s="414">
        <f t="shared" si="0"/>
        <v>824</v>
      </c>
      <c r="I13" s="414"/>
      <c r="J13" s="414">
        <v>4000</v>
      </c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>
        <f t="shared" si="1"/>
        <v>0</v>
      </c>
    </row>
    <row r="14" spans="1:26" ht="14.45" customHeight="1" x14ac:dyDescent="0.25">
      <c r="A14" s="531" t="s">
        <v>1288</v>
      </c>
      <c r="B14" s="531" t="s">
        <v>100</v>
      </c>
      <c r="C14" s="531">
        <v>8</v>
      </c>
      <c r="D14" s="542">
        <v>14648</v>
      </c>
      <c r="E14" s="531">
        <v>8</v>
      </c>
      <c r="F14" s="542">
        <v>17429</v>
      </c>
      <c r="G14" s="483">
        <f t="shared" si="0"/>
        <v>0</v>
      </c>
      <c r="H14" s="414">
        <f t="shared" si="0"/>
        <v>2781</v>
      </c>
      <c r="I14" s="414"/>
      <c r="J14" s="414">
        <v>4000</v>
      </c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>
        <f t="shared" si="1"/>
        <v>0</v>
      </c>
    </row>
    <row r="15" spans="1:26" ht="14.45" customHeight="1" x14ac:dyDescent="0.25">
      <c r="A15" s="531" t="s">
        <v>1287</v>
      </c>
      <c r="B15" s="531" t="s">
        <v>100</v>
      </c>
      <c r="C15" s="531">
        <v>8</v>
      </c>
      <c r="D15" s="542">
        <v>11108.5</v>
      </c>
      <c r="E15" s="531">
        <v>8</v>
      </c>
      <c r="F15" s="542">
        <v>11016</v>
      </c>
      <c r="G15" s="483">
        <f t="shared" si="0"/>
        <v>0</v>
      </c>
      <c r="H15" s="414">
        <f t="shared" si="0"/>
        <v>-92.5</v>
      </c>
      <c r="I15" s="414"/>
      <c r="J15" s="414">
        <v>4000</v>
      </c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>
        <f t="shared" si="1"/>
        <v>0</v>
      </c>
    </row>
    <row r="16" spans="1:26" ht="14.45" customHeight="1" x14ac:dyDescent="0.25">
      <c r="A16" s="531" t="s">
        <v>1286</v>
      </c>
      <c r="B16" s="531" t="s">
        <v>100</v>
      </c>
      <c r="C16" s="531">
        <v>8</v>
      </c>
      <c r="D16" s="542">
        <v>13163.5</v>
      </c>
      <c r="E16" s="531">
        <v>8</v>
      </c>
      <c r="F16" s="542">
        <v>12420</v>
      </c>
      <c r="G16" s="483">
        <f t="shared" si="0"/>
        <v>0</v>
      </c>
      <c r="H16" s="414">
        <f t="shared" si="0"/>
        <v>-743.5</v>
      </c>
      <c r="I16" s="414"/>
      <c r="J16" s="414">
        <v>4000</v>
      </c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>
        <f t="shared" si="1"/>
        <v>0</v>
      </c>
    </row>
    <row r="17" spans="1:26" ht="14.45" customHeight="1" x14ac:dyDescent="0.25">
      <c r="A17" s="530" t="s">
        <v>203</v>
      </c>
      <c r="B17" s="530" t="s">
        <v>100</v>
      </c>
      <c r="C17" s="531">
        <v>10</v>
      </c>
      <c r="D17" s="542">
        <v>19057.5</v>
      </c>
      <c r="E17" s="531">
        <v>10</v>
      </c>
      <c r="F17" s="542">
        <v>19130</v>
      </c>
      <c r="G17" s="483">
        <f t="shared" si="0"/>
        <v>0</v>
      </c>
      <c r="H17" s="414">
        <f t="shared" si="0"/>
        <v>72.5</v>
      </c>
      <c r="I17" s="414"/>
      <c r="J17" s="414">
        <v>4000</v>
      </c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>
        <f t="shared" si="1"/>
        <v>0</v>
      </c>
    </row>
    <row r="18" spans="1:26" ht="14.45" customHeight="1" x14ac:dyDescent="0.25">
      <c r="A18" s="530" t="s">
        <v>260</v>
      </c>
      <c r="B18" s="530" t="s">
        <v>100</v>
      </c>
      <c r="C18" s="531">
        <v>2</v>
      </c>
      <c r="D18" s="542">
        <v>2915</v>
      </c>
      <c r="E18" s="531">
        <v>2</v>
      </c>
      <c r="F18" s="542">
        <v>3003</v>
      </c>
      <c r="G18" s="483">
        <f t="shared" si="0"/>
        <v>0</v>
      </c>
      <c r="H18" s="414">
        <f t="shared" si="0"/>
        <v>88</v>
      </c>
      <c r="I18" s="414"/>
      <c r="J18" s="414">
        <v>1201</v>
      </c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>
        <f t="shared" si="1"/>
        <v>0</v>
      </c>
    </row>
    <row r="19" spans="1:26" ht="14.45" customHeight="1" x14ac:dyDescent="0.25">
      <c r="A19" s="530" t="s">
        <v>222</v>
      </c>
      <c r="B19" s="530" t="s">
        <v>100</v>
      </c>
      <c r="C19" s="531">
        <v>7</v>
      </c>
      <c r="D19" s="542">
        <v>9918</v>
      </c>
      <c r="E19" s="523">
        <v>0</v>
      </c>
      <c r="F19" s="477">
        <v>0</v>
      </c>
      <c r="G19" s="483">
        <f t="shared" si="0"/>
        <v>-7</v>
      </c>
      <c r="H19" s="414">
        <f t="shared" si="0"/>
        <v>-9918</v>
      </c>
      <c r="I19" s="414"/>
      <c r="J19" s="414">
        <f>H19*0.4</f>
        <v>-3967.2000000000003</v>
      </c>
      <c r="K19" s="483">
        <v>-1</v>
      </c>
      <c r="L19" s="483">
        <v>-1</v>
      </c>
      <c r="M19" s="483"/>
      <c r="N19" s="483">
        <v>-1</v>
      </c>
      <c r="O19" s="483">
        <v>-1</v>
      </c>
      <c r="P19" s="483">
        <v>-1</v>
      </c>
      <c r="Q19" s="483"/>
      <c r="R19" s="483">
        <v>-1</v>
      </c>
      <c r="S19" s="483">
        <v>-1</v>
      </c>
      <c r="T19" s="483"/>
      <c r="U19" s="483"/>
      <c r="V19" s="483"/>
      <c r="W19" s="483"/>
      <c r="X19" s="483"/>
      <c r="Y19" s="483"/>
      <c r="Z19" s="483">
        <f t="shared" si="1"/>
        <v>-7</v>
      </c>
    </row>
    <row r="20" spans="1:26" ht="14.45" customHeight="1" x14ac:dyDescent="0.25">
      <c r="A20" s="531" t="s">
        <v>167</v>
      </c>
      <c r="B20" s="531" t="s">
        <v>100</v>
      </c>
      <c r="C20" s="531">
        <v>6</v>
      </c>
      <c r="D20" s="542">
        <v>8640</v>
      </c>
      <c r="E20" s="531">
        <v>6</v>
      </c>
      <c r="F20" s="542">
        <v>8899</v>
      </c>
      <c r="G20" s="483">
        <f t="shared" si="0"/>
        <v>0</v>
      </c>
      <c r="H20" s="414">
        <f t="shared" si="0"/>
        <v>259</v>
      </c>
      <c r="I20" s="414"/>
      <c r="J20" s="414">
        <v>3560</v>
      </c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>
        <f t="shared" si="1"/>
        <v>0</v>
      </c>
    </row>
    <row r="21" spans="1:26" ht="14.45" customHeight="1" x14ac:dyDescent="0.25">
      <c r="A21" s="533" t="s">
        <v>314</v>
      </c>
      <c r="B21" s="530" t="s">
        <v>115</v>
      </c>
      <c r="C21" s="531">
        <v>7</v>
      </c>
      <c r="D21" s="542">
        <v>9432</v>
      </c>
      <c r="E21" s="531">
        <v>7</v>
      </c>
      <c r="F21" s="542">
        <v>10214</v>
      </c>
      <c r="G21" s="483">
        <f t="shared" si="0"/>
        <v>0</v>
      </c>
      <c r="H21" s="414">
        <f t="shared" si="0"/>
        <v>782</v>
      </c>
      <c r="I21" s="414"/>
      <c r="J21" s="414">
        <v>4000</v>
      </c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>
        <f t="shared" si="1"/>
        <v>0</v>
      </c>
    </row>
    <row r="22" spans="1:26" ht="14.45" customHeight="1" x14ac:dyDescent="0.25">
      <c r="A22" s="531" t="s">
        <v>215</v>
      </c>
      <c r="B22" s="531" t="s">
        <v>100</v>
      </c>
      <c r="C22" s="531">
        <v>5</v>
      </c>
      <c r="D22" s="542">
        <v>11550</v>
      </c>
      <c r="E22" s="531">
        <v>5</v>
      </c>
      <c r="F22" s="542">
        <v>11345</v>
      </c>
      <c r="G22" s="483">
        <f t="shared" si="0"/>
        <v>0</v>
      </c>
      <c r="H22" s="414">
        <f t="shared" si="0"/>
        <v>-205</v>
      </c>
      <c r="I22" s="414"/>
      <c r="J22" s="414">
        <v>4000</v>
      </c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>
        <f t="shared" si="1"/>
        <v>0</v>
      </c>
    </row>
    <row r="23" spans="1:26" ht="14.45" customHeight="1" x14ac:dyDescent="0.25">
      <c r="A23" s="534" t="s">
        <v>284</v>
      </c>
      <c r="B23" s="530" t="s">
        <v>100</v>
      </c>
      <c r="C23" s="531">
        <v>4</v>
      </c>
      <c r="D23" s="542">
        <v>6380</v>
      </c>
      <c r="E23" s="531">
        <v>4</v>
      </c>
      <c r="F23" s="542">
        <v>6572</v>
      </c>
      <c r="G23" s="483">
        <f t="shared" si="0"/>
        <v>0</v>
      </c>
      <c r="H23" s="414">
        <f t="shared" si="0"/>
        <v>192</v>
      </c>
      <c r="I23" s="414"/>
      <c r="J23" s="414">
        <v>2629</v>
      </c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>
        <f t="shared" si="1"/>
        <v>0</v>
      </c>
    </row>
    <row r="24" spans="1:26" ht="14.45" customHeight="1" x14ac:dyDescent="0.25">
      <c r="A24" s="530" t="s">
        <v>1272</v>
      </c>
      <c r="B24" s="530" t="s">
        <v>100</v>
      </c>
      <c r="C24" s="530">
        <v>1</v>
      </c>
      <c r="D24" s="542">
        <v>1550</v>
      </c>
      <c r="E24" s="531">
        <v>1</v>
      </c>
      <c r="F24" s="542">
        <v>1595</v>
      </c>
      <c r="G24" s="483">
        <f t="shared" si="0"/>
        <v>0</v>
      </c>
      <c r="H24" s="414">
        <f t="shared" si="0"/>
        <v>45</v>
      </c>
      <c r="I24" s="414"/>
      <c r="J24" s="414">
        <v>638</v>
      </c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>
        <f t="shared" si="1"/>
        <v>0</v>
      </c>
    </row>
    <row r="25" spans="1:26" ht="14.45" customHeight="1" x14ac:dyDescent="0.25">
      <c r="A25" s="533" t="s">
        <v>1364</v>
      </c>
      <c r="B25" s="483" t="s">
        <v>115</v>
      </c>
      <c r="C25" s="9">
        <v>3</v>
      </c>
      <c r="D25" s="414">
        <f>2485*3</f>
        <v>7455</v>
      </c>
      <c r="E25" s="535">
        <v>3</v>
      </c>
      <c r="F25" s="542">
        <v>7680</v>
      </c>
      <c r="G25" s="483">
        <f t="shared" si="0"/>
        <v>0</v>
      </c>
      <c r="H25" s="414">
        <f t="shared" si="0"/>
        <v>225</v>
      </c>
      <c r="I25" s="414"/>
      <c r="J25" s="414">
        <v>3072</v>
      </c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>
        <f t="shared" si="1"/>
        <v>0</v>
      </c>
    </row>
    <row r="26" spans="1:26" ht="14.45" customHeight="1" x14ac:dyDescent="0.25">
      <c r="A26" s="6"/>
      <c r="B26" s="483"/>
      <c r="C26" s="9"/>
      <c r="D26" s="414"/>
      <c r="E26" s="483"/>
      <c r="F26" s="414"/>
      <c r="G26" s="483">
        <f t="shared" si="0"/>
        <v>0</v>
      </c>
      <c r="H26" s="414">
        <f t="shared" si="0"/>
        <v>0</v>
      </c>
      <c r="I26" s="414"/>
      <c r="J26" s="414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>
        <f t="shared" si="1"/>
        <v>0</v>
      </c>
    </row>
    <row r="27" spans="1:26" ht="14.45" hidden="1" customHeight="1" x14ac:dyDescent="0.25">
      <c r="A27" s="6"/>
      <c r="B27" s="483"/>
      <c r="C27" s="9"/>
      <c r="D27" s="414"/>
      <c r="E27" s="483"/>
      <c r="F27" s="414"/>
      <c r="G27" s="483">
        <f t="shared" si="0"/>
        <v>0</v>
      </c>
      <c r="H27" s="414">
        <f t="shared" si="0"/>
        <v>0</v>
      </c>
      <c r="I27" s="414"/>
      <c r="J27" s="414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>
        <f t="shared" si="1"/>
        <v>0</v>
      </c>
    </row>
    <row r="28" spans="1:26" ht="14.45" hidden="1" customHeight="1" x14ac:dyDescent="0.25">
      <c r="A28" s="9"/>
      <c r="B28" s="483"/>
      <c r="C28" s="9"/>
      <c r="D28" s="414"/>
      <c r="E28" s="483"/>
      <c r="F28" s="414"/>
      <c r="G28" s="483">
        <f t="shared" si="0"/>
        <v>0</v>
      </c>
      <c r="H28" s="414">
        <f t="shared" si="0"/>
        <v>0</v>
      </c>
      <c r="I28" s="414"/>
      <c r="J28" s="414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>
        <f t="shared" si="1"/>
        <v>0</v>
      </c>
    </row>
    <row r="29" spans="1:26" ht="14.45" hidden="1" customHeight="1" x14ac:dyDescent="0.25">
      <c r="A29" s="25"/>
      <c r="B29" s="483"/>
      <c r="C29" s="9"/>
      <c r="D29" s="414"/>
      <c r="E29" s="483"/>
      <c r="F29" s="414"/>
      <c r="G29" s="483">
        <f t="shared" si="0"/>
        <v>0</v>
      </c>
      <c r="H29" s="414">
        <f t="shared" si="0"/>
        <v>0</v>
      </c>
      <c r="I29" s="414"/>
      <c r="J29" s="414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>
        <f t="shared" si="1"/>
        <v>0</v>
      </c>
    </row>
    <row r="30" spans="1:26" ht="14.45" hidden="1" customHeight="1" x14ac:dyDescent="0.25">
      <c r="A30" s="9"/>
      <c r="B30" s="483"/>
      <c r="C30" s="9"/>
      <c r="D30" s="414"/>
      <c r="E30" s="483"/>
      <c r="F30" s="414"/>
      <c r="G30" s="483">
        <f t="shared" si="0"/>
        <v>0</v>
      </c>
      <c r="H30" s="414">
        <f t="shared" si="0"/>
        <v>0</v>
      </c>
      <c r="I30" s="414"/>
      <c r="J30" s="414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>
        <f t="shared" si="1"/>
        <v>0</v>
      </c>
    </row>
    <row r="31" spans="1:26" ht="14.45" hidden="1" customHeight="1" x14ac:dyDescent="0.25">
      <c r="A31" s="9"/>
      <c r="B31" s="483"/>
      <c r="C31" s="9"/>
      <c r="D31" s="414"/>
      <c r="E31" s="483"/>
      <c r="F31" s="414"/>
      <c r="G31" s="483">
        <f t="shared" si="0"/>
        <v>0</v>
      </c>
      <c r="H31" s="414">
        <f t="shared" si="0"/>
        <v>0</v>
      </c>
      <c r="I31" s="414"/>
      <c r="J31" s="414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>
        <f t="shared" si="1"/>
        <v>0</v>
      </c>
    </row>
    <row r="32" spans="1:26" ht="14.45" hidden="1" customHeight="1" x14ac:dyDescent="0.25">
      <c r="A32" s="9"/>
      <c r="B32" s="483"/>
      <c r="C32" s="9"/>
      <c r="D32" s="414"/>
      <c r="E32" s="483"/>
      <c r="F32" s="414"/>
      <c r="G32" s="483">
        <f t="shared" si="0"/>
        <v>0</v>
      </c>
      <c r="H32" s="414">
        <f t="shared" si="0"/>
        <v>0</v>
      </c>
      <c r="I32" s="414"/>
      <c r="J32" s="414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>
        <f t="shared" si="1"/>
        <v>0</v>
      </c>
    </row>
    <row r="33" spans="1:26" ht="14.45" hidden="1" customHeight="1" x14ac:dyDescent="0.25">
      <c r="A33" s="9"/>
      <c r="B33" s="483"/>
      <c r="C33" s="9"/>
      <c r="D33" s="414"/>
      <c r="E33" s="483"/>
      <c r="F33" s="414"/>
      <c r="G33" s="483">
        <f t="shared" si="0"/>
        <v>0</v>
      </c>
      <c r="H33" s="414">
        <f t="shared" si="0"/>
        <v>0</v>
      </c>
      <c r="I33" s="414"/>
      <c r="J33" s="414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>
        <f t="shared" si="1"/>
        <v>0</v>
      </c>
    </row>
    <row r="34" spans="1:26" ht="14.45" hidden="1" customHeight="1" x14ac:dyDescent="0.25">
      <c r="A34" s="9"/>
      <c r="B34" s="483"/>
      <c r="C34" s="9"/>
      <c r="D34" s="414"/>
      <c r="E34" s="483"/>
      <c r="F34" s="414"/>
      <c r="G34" s="483">
        <f t="shared" si="0"/>
        <v>0</v>
      </c>
      <c r="H34" s="414">
        <f t="shared" si="0"/>
        <v>0</v>
      </c>
      <c r="I34" s="414"/>
      <c r="J34" s="414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>
        <f t="shared" si="1"/>
        <v>0</v>
      </c>
    </row>
    <row r="35" spans="1:26" ht="14.45" hidden="1" customHeight="1" x14ac:dyDescent="0.25">
      <c r="A35" s="9"/>
      <c r="B35" s="483"/>
      <c r="C35" s="9"/>
      <c r="D35" s="414"/>
      <c r="E35" s="483"/>
      <c r="F35" s="414"/>
      <c r="G35" s="483">
        <f t="shared" si="0"/>
        <v>0</v>
      </c>
      <c r="H35" s="414">
        <f t="shared" si="0"/>
        <v>0</v>
      </c>
      <c r="I35" s="414"/>
      <c r="J35" s="414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>
        <f t="shared" si="1"/>
        <v>0</v>
      </c>
    </row>
    <row r="36" spans="1:26" ht="14.45" hidden="1" customHeight="1" x14ac:dyDescent="0.25">
      <c r="A36" s="9"/>
      <c r="B36" s="483"/>
      <c r="C36" s="9"/>
      <c r="D36" s="414"/>
      <c r="E36" s="483"/>
      <c r="F36" s="414"/>
      <c r="G36" s="483">
        <f t="shared" si="0"/>
        <v>0</v>
      </c>
      <c r="H36" s="414">
        <f t="shared" si="0"/>
        <v>0</v>
      </c>
      <c r="I36" s="414"/>
      <c r="J36" s="414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>
        <f t="shared" si="1"/>
        <v>0</v>
      </c>
    </row>
    <row r="37" spans="1:26" ht="14.45" hidden="1" customHeight="1" x14ac:dyDescent="0.25">
      <c r="A37" s="9"/>
      <c r="B37" s="483"/>
      <c r="C37" s="9"/>
      <c r="D37" s="414"/>
      <c r="E37" s="483"/>
      <c r="F37" s="414"/>
      <c r="G37" s="483">
        <f t="shared" si="0"/>
        <v>0</v>
      </c>
      <c r="H37" s="414">
        <f t="shared" si="0"/>
        <v>0</v>
      </c>
      <c r="I37" s="414"/>
      <c r="J37" s="414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>
        <f t="shared" si="1"/>
        <v>0</v>
      </c>
    </row>
    <row r="38" spans="1:26" ht="14.45" hidden="1" customHeight="1" x14ac:dyDescent="0.25">
      <c r="A38" s="6"/>
      <c r="B38" s="483"/>
      <c r="C38" s="9"/>
      <c r="D38" s="414"/>
      <c r="E38" s="483"/>
      <c r="F38" s="414"/>
      <c r="G38" s="483">
        <f t="shared" si="0"/>
        <v>0</v>
      </c>
      <c r="H38" s="414">
        <f t="shared" si="0"/>
        <v>0</v>
      </c>
      <c r="I38" s="414"/>
      <c r="J38" s="414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>
        <f t="shared" si="1"/>
        <v>0</v>
      </c>
    </row>
    <row r="39" spans="1:26" ht="14.45" hidden="1" customHeight="1" x14ac:dyDescent="0.25">
      <c r="A39" s="6"/>
      <c r="B39" s="483"/>
      <c r="C39" s="9"/>
      <c r="D39" s="414"/>
      <c r="E39" s="483"/>
      <c r="F39" s="414"/>
      <c r="G39" s="483">
        <f t="shared" si="0"/>
        <v>0</v>
      </c>
      <c r="H39" s="414">
        <f t="shared" si="0"/>
        <v>0</v>
      </c>
      <c r="I39" s="414"/>
      <c r="J39" s="414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>
        <f t="shared" si="1"/>
        <v>0</v>
      </c>
    </row>
    <row r="40" spans="1:26" ht="14.45" hidden="1" customHeight="1" x14ac:dyDescent="0.25">
      <c r="A40" s="6"/>
      <c r="B40" s="483"/>
      <c r="C40" s="9"/>
      <c r="D40" s="414"/>
      <c r="E40" s="483"/>
      <c r="F40" s="414"/>
      <c r="G40" s="483">
        <f t="shared" si="0"/>
        <v>0</v>
      </c>
      <c r="H40" s="414">
        <f t="shared" si="0"/>
        <v>0</v>
      </c>
      <c r="I40" s="414"/>
      <c r="J40" s="414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>
        <f t="shared" si="1"/>
        <v>0</v>
      </c>
    </row>
    <row r="41" spans="1:26" ht="14.45" hidden="1" customHeight="1" x14ac:dyDescent="0.25">
      <c r="A41" s="6"/>
      <c r="B41" s="483"/>
      <c r="C41" s="9"/>
      <c r="D41" s="414"/>
      <c r="E41" s="483"/>
      <c r="F41" s="414"/>
      <c r="G41" s="483">
        <f t="shared" si="0"/>
        <v>0</v>
      </c>
      <c r="H41" s="414">
        <f t="shared" si="0"/>
        <v>0</v>
      </c>
      <c r="I41" s="414"/>
      <c r="J41" s="414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>
        <f t="shared" si="1"/>
        <v>0</v>
      </c>
    </row>
    <row r="42" spans="1:26" ht="14.45" hidden="1" customHeight="1" x14ac:dyDescent="0.25">
      <c r="A42" s="6"/>
      <c r="B42" s="483"/>
      <c r="C42" s="9"/>
      <c r="D42" s="414"/>
      <c r="E42" s="483"/>
      <c r="F42" s="414"/>
      <c r="G42" s="483">
        <f t="shared" si="0"/>
        <v>0</v>
      </c>
      <c r="H42" s="414">
        <f t="shared" si="0"/>
        <v>0</v>
      </c>
      <c r="I42" s="414"/>
      <c r="J42" s="414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>
        <f t="shared" si="1"/>
        <v>0</v>
      </c>
    </row>
    <row r="43" spans="1:26" ht="15" hidden="1" customHeight="1" x14ac:dyDescent="0.25">
      <c r="A43" s="6"/>
      <c r="B43" s="483"/>
      <c r="C43" s="9"/>
      <c r="D43" s="414"/>
      <c r="E43" s="483"/>
      <c r="F43" s="414"/>
      <c r="G43" s="483">
        <f t="shared" si="0"/>
        <v>0</v>
      </c>
      <c r="H43" s="414">
        <f t="shared" si="0"/>
        <v>0</v>
      </c>
      <c r="I43" s="414"/>
      <c r="J43" s="414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>
        <f t="shared" si="1"/>
        <v>0</v>
      </c>
    </row>
    <row r="44" spans="1:26" ht="15" hidden="1" customHeight="1" x14ac:dyDescent="0.25">
      <c r="A44" s="6"/>
      <c r="B44" s="483"/>
      <c r="C44" s="9"/>
      <c r="D44" s="414"/>
      <c r="E44" s="483"/>
      <c r="F44" s="414"/>
      <c r="G44" s="483">
        <f t="shared" si="0"/>
        <v>0</v>
      </c>
      <c r="H44" s="414">
        <f t="shared" si="0"/>
        <v>0</v>
      </c>
      <c r="I44" s="414"/>
      <c r="J44" s="414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>
        <f t="shared" si="1"/>
        <v>0</v>
      </c>
    </row>
    <row r="45" spans="1:26" ht="15" hidden="1" customHeight="1" x14ac:dyDescent="0.25">
      <c r="A45" s="6"/>
      <c r="B45" s="483"/>
      <c r="C45" s="9"/>
      <c r="D45" s="414"/>
      <c r="E45" s="483"/>
      <c r="F45" s="414"/>
      <c r="G45" s="483">
        <f t="shared" si="0"/>
        <v>0</v>
      </c>
      <c r="H45" s="414">
        <f t="shared" si="0"/>
        <v>0</v>
      </c>
      <c r="I45" s="414"/>
      <c r="J45" s="414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>
        <f t="shared" si="1"/>
        <v>0</v>
      </c>
    </row>
    <row r="46" spans="1:26" ht="15" hidden="1" customHeight="1" x14ac:dyDescent="0.25">
      <c r="A46" s="6"/>
      <c r="B46" s="483"/>
      <c r="C46" s="9"/>
      <c r="D46" s="414"/>
      <c r="E46" s="483"/>
      <c r="F46" s="414"/>
      <c r="G46" s="483">
        <f t="shared" si="0"/>
        <v>0</v>
      </c>
      <c r="H46" s="414">
        <f t="shared" si="0"/>
        <v>0</v>
      </c>
      <c r="I46" s="414"/>
      <c r="J46" s="414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>
        <f t="shared" si="1"/>
        <v>0</v>
      </c>
    </row>
    <row r="47" spans="1:26" ht="15" hidden="1" customHeight="1" x14ac:dyDescent="0.25">
      <c r="A47" s="6"/>
      <c r="B47" s="483"/>
      <c r="C47" s="9"/>
      <c r="D47" s="414"/>
      <c r="E47" s="483"/>
      <c r="F47" s="414"/>
      <c r="G47" s="483">
        <f t="shared" si="0"/>
        <v>0</v>
      </c>
      <c r="H47" s="414">
        <f t="shared" si="0"/>
        <v>0</v>
      </c>
      <c r="I47" s="414"/>
      <c r="J47" s="414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>
        <f t="shared" si="1"/>
        <v>0</v>
      </c>
    </row>
    <row r="48" spans="1:26" ht="15" hidden="1" customHeight="1" x14ac:dyDescent="0.25">
      <c r="A48" s="26"/>
      <c r="B48" s="483"/>
      <c r="C48" s="9"/>
      <c r="D48" s="414"/>
      <c r="E48" s="483"/>
      <c r="F48" s="414"/>
      <c r="G48" s="483">
        <f t="shared" si="0"/>
        <v>0</v>
      </c>
      <c r="H48" s="414">
        <f t="shared" si="0"/>
        <v>0</v>
      </c>
      <c r="I48" s="414"/>
      <c r="J48" s="414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>
        <f t="shared" si="1"/>
        <v>0</v>
      </c>
    </row>
    <row r="49" spans="1:26" ht="15" hidden="1" customHeight="1" x14ac:dyDescent="0.25">
      <c r="A49" s="9"/>
      <c r="B49" s="483"/>
      <c r="C49" s="9"/>
      <c r="D49" s="414"/>
      <c r="E49" s="483"/>
      <c r="F49" s="414"/>
      <c r="G49" s="483">
        <f t="shared" si="0"/>
        <v>0</v>
      </c>
      <c r="H49" s="414">
        <f t="shared" si="0"/>
        <v>0</v>
      </c>
      <c r="I49" s="414"/>
      <c r="J49" s="414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>
        <f t="shared" si="1"/>
        <v>0</v>
      </c>
    </row>
    <row r="50" spans="1:26" ht="15" hidden="1" customHeight="1" x14ac:dyDescent="0.25">
      <c r="A50" s="6"/>
      <c r="B50" s="483"/>
      <c r="C50" s="6"/>
      <c r="D50" s="414"/>
      <c r="E50" s="483"/>
      <c r="F50" s="414"/>
      <c r="G50" s="483">
        <f t="shared" si="0"/>
        <v>0</v>
      </c>
      <c r="H50" s="414">
        <f t="shared" si="0"/>
        <v>0</v>
      </c>
      <c r="I50" s="414"/>
      <c r="J50" s="414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>
        <f t="shared" si="1"/>
        <v>0</v>
      </c>
    </row>
    <row r="51" spans="1:26" ht="15" hidden="1" customHeight="1" x14ac:dyDescent="0.25">
      <c r="A51" s="6"/>
      <c r="B51" s="483"/>
      <c r="C51" s="6"/>
      <c r="D51" s="414"/>
      <c r="E51" s="483"/>
      <c r="F51" s="414"/>
      <c r="G51" s="483">
        <f t="shared" si="0"/>
        <v>0</v>
      </c>
      <c r="H51" s="414">
        <f t="shared" si="0"/>
        <v>0</v>
      </c>
      <c r="I51" s="414"/>
      <c r="J51" s="414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>
        <f t="shared" si="1"/>
        <v>0</v>
      </c>
    </row>
    <row r="52" spans="1:26" ht="15" hidden="1" customHeight="1" x14ac:dyDescent="0.25">
      <c r="A52" s="6"/>
      <c r="B52" s="483"/>
      <c r="C52" s="6"/>
      <c r="D52" s="414"/>
      <c r="E52" s="483"/>
      <c r="F52" s="414"/>
      <c r="G52" s="483">
        <f t="shared" si="0"/>
        <v>0</v>
      </c>
      <c r="H52" s="414">
        <f t="shared" si="0"/>
        <v>0</v>
      </c>
      <c r="I52" s="414"/>
      <c r="J52" s="414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>
        <f t="shared" si="1"/>
        <v>0</v>
      </c>
    </row>
    <row r="53" spans="1:26" ht="15" hidden="1" customHeight="1" x14ac:dyDescent="0.25">
      <c r="A53" s="6"/>
      <c r="B53" s="483"/>
      <c r="C53" s="6"/>
      <c r="D53" s="414"/>
      <c r="E53" s="483"/>
      <c r="F53" s="414"/>
      <c r="G53" s="483">
        <f t="shared" si="0"/>
        <v>0</v>
      </c>
      <c r="H53" s="414">
        <f t="shared" si="0"/>
        <v>0</v>
      </c>
      <c r="I53" s="414"/>
      <c r="J53" s="414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>
        <f t="shared" si="1"/>
        <v>0</v>
      </c>
    </row>
    <row r="54" spans="1:26" ht="15" hidden="1" customHeight="1" x14ac:dyDescent="0.25">
      <c r="A54" s="6"/>
      <c r="B54" s="483"/>
      <c r="C54" s="6"/>
      <c r="D54" s="414"/>
      <c r="E54" s="483"/>
      <c r="F54" s="414"/>
      <c r="G54" s="483">
        <f t="shared" si="0"/>
        <v>0</v>
      </c>
      <c r="H54" s="414">
        <f t="shared" si="0"/>
        <v>0</v>
      </c>
      <c r="I54" s="414"/>
      <c r="J54" s="414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>
        <f t="shared" si="1"/>
        <v>0</v>
      </c>
    </row>
    <row r="55" spans="1:26" ht="15" hidden="1" customHeight="1" x14ac:dyDescent="0.25">
      <c r="A55" s="6"/>
      <c r="B55" s="483"/>
      <c r="C55" s="6"/>
      <c r="D55" s="414"/>
      <c r="E55" s="483"/>
      <c r="F55" s="414"/>
      <c r="G55" s="483">
        <f t="shared" si="0"/>
        <v>0</v>
      </c>
      <c r="H55" s="414">
        <f t="shared" si="0"/>
        <v>0</v>
      </c>
      <c r="I55" s="414"/>
      <c r="J55" s="414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>
        <f t="shared" si="1"/>
        <v>0</v>
      </c>
    </row>
    <row r="56" spans="1:26" ht="15" hidden="1" customHeight="1" x14ac:dyDescent="0.25">
      <c r="A56" s="6"/>
      <c r="B56" s="483"/>
      <c r="C56" s="6"/>
      <c r="D56" s="414"/>
      <c r="E56" s="483"/>
      <c r="F56" s="414"/>
      <c r="G56" s="483">
        <f t="shared" si="0"/>
        <v>0</v>
      </c>
      <c r="H56" s="414">
        <f t="shared" si="0"/>
        <v>0</v>
      </c>
      <c r="I56" s="414"/>
      <c r="J56" s="414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>
        <f t="shared" si="1"/>
        <v>0</v>
      </c>
    </row>
    <row r="57" spans="1:26" ht="15" hidden="1" customHeight="1" x14ac:dyDescent="0.25">
      <c r="A57" s="6"/>
      <c r="B57" s="483"/>
      <c r="C57" s="9"/>
      <c r="D57" s="414"/>
      <c r="E57" s="483"/>
      <c r="F57" s="414"/>
      <c r="G57" s="483">
        <f t="shared" si="0"/>
        <v>0</v>
      </c>
      <c r="H57" s="414">
        <f t="shared" si="0"/>
        <v>0</v>
      </c>
      <c r="I57" s="414"/>
      <c r="J57" s="414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>
        <f t="shared" si="1"/>
        <v>0</v>
      </c>
    </row>
    <row r="58" spans="1:26" ht="15" hidden="1" customHeight="1" x14ac:dyDescent="0.25">
      <c r="A58" s="6"/>
      <c r="B58" s="483"/>
      <c r="C58" s="9"/>
      <c r="D58" s="414"/>
      <c r="E58" s="483"/>
      <c r="F58" s="414"/>
      <c r="G58" s="483">
        <f t="shared" si="0"/>
        <v>0</v>
      </c>
      <c r="H58" s="414">
        <f t="shared" si="0"/>
        <v>0</v>
      </c>
      <c r="I58" s="414"/>
      <c r="J58" s="414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>
        <f t="shared" si="1"/>
        <v>0</v>
      </c>
    </row>
    <row r="59" spans="1:26" ht="15" hidden="1" customHeight="1" x14ac:dyDescent="0.25">
      <c r="A59" s="6"/>
      <c r="B59" s="483"/>
      <c r="C59" s="9"/>
      <c r="D59" s="414"/>
      <c r="E59" s="483"/>
      <c r="F59" s="414"/>
      <c r="G59" s="483">
        <f t="shared" si="0"/>
        <v>0</v>
      </c>
      <c r="H59" s="414">
        <f t="shared" si="0"/>
        <v>0</v>
      </c>
      <c r="I59" s="414"/>
      <c r="J59" s="414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>
        <f t="shared" si="1"/>
        <v>0</v>
      </c>
    </row>
    <row r="60" spans="1:26" ht="15" hidden="1" customHeight="1" x14ac:dyDescent="0.25">
      <c r="A60" s="6"/>
      <c r="B60" s="483"/>
      <c r="C60" s="9"/>
      <c r="D60" s="414"/>
      <c r="E60" s="483"/>
      <c r="F60" s="414"/>
      <c r="G60" s="483">
        <f t="shared" si="0"/>
        <v>0</v>
      </c>
      <c r="H60" s="414">
        <f t="shared" si="0"/>
        <v>0</v>
      </c>
      <c r="I60" s="414"/>
      <c r="J60" s="414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>
        <f t="shared" si="1"/>
        <v>0</v>
      </c>
    </row>
    <row r="61" spans="1:26" ht="15" hidden="1" customHeight="1" x14ac:dyDescent="0.25">
      <c r="A61" s="6"/>
      <c r="B61" s="483"/>
      <c r="C61" s="9"/>
      <c r="D61" s="414"/>
      <c r="E61" s="483"/>
      <c r="F61" s="414"/>
      <c r="G61" s="483">
        <f t="shared" si="0"/>
        <v>0</v>
      </c>
      <c r="H61" s="414">
        <f t="shared" si="0"/>
        <v>0</v>
      </c>
      <c r="I61" s="414"/>
      <c r="J61" s="414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>
        <f t="shared" si="1"/>
        <v>0</v>
      </c>
    </row>
    <row r="62" spans="1:26" ht="15" hidden="1" customHeight="1" x14ac:dyDescent="0.25">
      <c r="A62" s="6"/>
      <c r="B62" s="483"/>
      <c r="C62" s="9"/>
      <c r="D62" s="414"/>
      <c r="E62" s="483"/>
      <c r="F62" s="414"/>
      <c r="G62" s="483">
        <f t="shared" si="0"/>
        <v>0</v>
      </c>
      <c r="H62" s="414">
        <f t="shared" si="0"/>
        <v>0</v>
      </c>
      <c r="I62" s="414"/>
      <c r="J62" s="414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>
        <f t="shared" si="1"/>
        <v>0</v>
      </c>
    </row>
    <row r="63" spans="1:26" ht="15" hidden="1" customHeight="1" x14ac:dyDescent="0.25">
      <c r="A63" s="6"/>
      <c r="B63" s="483"/>
      <c r="C63" s="9"/>
      <c r="D63" s="414"/>
      <c r="E63" s="483"/>
      <c r="F63" s="414"/>
      <c r="G63" s="483">
        <f t="shared" si="0"/>
        <v>0</v>
      </c>
      <c r="H63" s="414">
        <f t="shared" si="0"/>
        <v>0</v>
      </c>
      <c r="I63" s="414"/>
      <c r="J63" s="414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>
        <f t="shared" si="1"/>
        <v>0</v>
      </c>
    </row>
    <row r="64" spans="1:26" ht="15" hidden="1" customHeight="1" x14ac:dyDescent="0.25">
      <c r="A64" s="6"/>
      <c r="B64" s="483"/>
      <c r="C64" s="9"/>
      <c r="D64" s="414"/>
      <c r="E64" s="483"/>
      <c r="F64" s="414"/>
      <c r="G64" s="483">
        <f t="shared" si="0"/>
        <v>0</v>
      </c>
      <c r="H64" s="414">
        <f t="shared" si="0"/>
        <v>0</v>
      </c>
      <c r="I64" s="414"/>
      <c r="J64" s="414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>
        <f t="shared" si="1"/>
        <v>0</v>
      </c>
    </row>
    <row r="65" spans="1:26" ht="15" hidden="1" customHeight="1" x14ac:dyDescent="0.25">
      <c r="A65" s="6"/>
      <c r="B65" s="483"/>
      <c r="C65" s="9"/>
      <c r="D65" s="414"/>
      <c r="E65" s="483"/>
      <c r="F65" s="414"/>
      <c r="G65" s="483">
        <f t="shared" si="0"/>
        <v>0</v>
      </c>
      <c r="H65" s="414">
        <f t="shared" si="0"/>
        <v>0</v>
      </c>
      <c r="I65" s="414"/>
      <c r="J65" s="414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>
        <f t="shared" si="1"/>
        <v>0</v>
      </c>
    </row>
    <row r="66" spans="1:26" ht="15" hidden="1" customHeight="1" x14ac:dyDescent="0.25">
      <c r="A66" s="6"/>
      <c r="B66" s="483"/>
      <c r="C66" s="9"/>
      <c r="D66" s="414"/>
      <c r="E66" s="483"/>
      <c r="F66" s="414"/>
      <c r="G66" s="483">
        <f t="shared" si="0"/>
        <v>0</v>
      </c>
      <c r="H66" s="414">
        <f t="shared" si="0"/>
        <v>0</v>
      </c>
      <c r="I66" s="414"/>
      <c r="J66" s="414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>
        <f t="shared" si="1"/>
        <v>0</v>
      </c>
    </row>
    <row r="67" spans="1:26" ht="15" hidden="1" customHeight="1" x14ac:dyDescent="0.25">
      <c r="A67" s="6"/>
      <c r="B67" s="483"/>
      <c r="C67" s="9"/>
      <c r="D67" s="414"/>
      <c r="E67" s="483"/>
      <c r="F67" s="414"/>
      <c r="G67" s="483">
        <f t="shared" si="0"/>
        <v>0</v>
      </c>
      <c r="H67" s="414">
        <f t="shared" si="0"/>
        <v>0</v>
      </c>
      <c r="I67" s="414"/>
      <c r="J67" s="414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>
        <f t="shared" si="1"/>
        <v>0</v>
      </c>
    </row>
    <row r="68" spans="1:26" ht="15" hidden="1" customHeight="1" x14ac:dyDescent="0.25">
      <c r="A68" s="6"/>
      <c r="B68" s="483"/>
      <c r="C68" s="9"/>
      <c r="D68" s="414"/>
      <c r="E68" s="483"/>
      <c r="F68" s="414"/>
      <c r="G68" s="483">
        <f t="shared" si="0"/>
        <v>0</v>
      </c>
      <c r="H68" s="414">
        <f t="shared" si="0"/>
        <v>0</v>
      </c>
      <c r="I68" s="414"/>
      <c r="J68" s="414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>
        <f t="shared" si="1"/>
        <v>0</v>
      </c>
    </row>
    <row r="69" spans="1:26" ht="15" hidden="1" customHeight="1" x14ac:dyDescent="0.25">
      <c r="A69" s="6"/>
      <c r="B69" s="483"/>
      <c r="C69" s="9"/>
      <c r="D69" s="414"/>
      <c r="E69" s="483"/>
      <c r="F69" s="414"/>
      <c r="G69" s="483">
        <f t="shared" si="0"/>
        <v>0</v>
      </c>
      <c r="H69" s="414">
        <f t="shared" si="0"/>
        <v>0</v>
      </c>
      <c r="I69" s="414"/>
      <c r="J69" s="414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>
        <f t="shared" si="1"/>
        <v>0</v>
      </c>
    </row>
    <row r="70" spans="1:26" ht="15" hidden="1" customHeight="1" x14ac:dyDescent="0.25">
      <c r="A70" s="6"/>
      <c r="B70" s="483"/>
      <c r="C70" s="9"/>
      <c r="D70" s="414"/>
      <c r="E70" s="483"/>
      <c r="F70" s="414"/>
      <c r="G70" s="483">
        <f t="shared" si="0"/>
        <v>0</v>
      </c>
      <c r="H70" s="414">
        <f t="shared" si="0"/>
        <v>0</v>
      </c>
      <c r="I70" s="414"/>
      <c r="J70" s="414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>
        <f t="shared" si="1"/>
        <v>0</v>
      </c>
    </row>
    <row r="71" spans="1:26" ht="15" hidden="1" customHeight="1" x14ac:dyDescent="0.25">
      <c r="A71" s="6"/>
      <c r="B71" s="483"/>
      <c r="C71" s="9"/>
      <c r="D71" s="414"/>
      <c r="E71" s="483"/>
      <c r="F71" s="414"/>
      <c r="G71" s="483">
        <f t="shared" si="0"/>
        <v>0</v>
      </c>
      <c r="H71" s="414">
        <f t="shared" si="0"/>
        <v>0</v>
      </c>
      <c r="I71" s="414"/>
      <c r="J71" s="414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>
        <f t="shared" si="1"/>
        <v>0</v>
      </c>
    </row>
    <row r="72" spans="1:26" ht="15" hidden="1" customHeight="1" x14ac:dyDescent="0.25">
      <c r="A72" s="23"/>
      <c r="B72" s="483"/>
      <c r="C72" s="9"/>
      <c r="D72" s="414"/>
      <c r="E72" s="483"/>
      <c r="F72" s="414"/>
      <c r="G72" s="483">
        <f t="shared" si="0"/>
        <v>0</v>
      </c>
      <c r="H72" s="414">
        <f t="shared" si="0"/>
        <v>0</v>
      </c>
      <c r="I72" s="414"/>
      <c r="J72" s="414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>
        <f t="shared" si="1"/>
        <v>0</v>
      </c>
    </row>
    <row r="73" spans="1:26" ht="15" hidden="1" customHeight="1" x14ac:dyDescent="0.25">
      <c r="A73" s="6"/>
      <c r="B73" s="483"/>
      <c r="C73" s="9"/>
      <c r="D73" s="414"/>
      <c r="E73" s="483"/>
      <c r="F73" s="414"/>
      <c r="G73" s="483">
        <f t="shared" si="0"/>
        <v>0</v>
      </c>
      <c r="H73" s="414">
        <f t="shared" si="0"/>
        <v>0</v>
      </c>
      <c r="I73" s="414"/>
      <c r="J73" s="414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>
        <f t="shared" si="1"/>
        <v>0</v>
      </c>
    </row>
    <row r="74" spans="1:26" ht="15" hidden="1" customHeight="1" x14ac:dyDescent="0.25">
      <c r="A74" s="23"/>
      <c r="B74" s="483"/>
      <c r="C74" s="9"/>
      <c r="D74" s="414"/>
      <c r="E74" s="483"/>
      <c r="F74" s="414"/>
      <c r="G74" s="483">
        <f t="shared" si="0"/>
        <v>0</v>
      </c>
      <c r="H74" s="414">
        <f t="shared" si="0"/>
        <v>0</v>
      </c>
      <c r="I74" s="414"/>
      <c r="J74" s="414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>
        <f t="shared" si="1"/>
        <v>0</v>
      </c>
    </row>
    <row r="75" spans="1:26" ht="15" hidden="1" customHeight="1" x14ac:dyDescent="0.25">
      <c r="A75" s="6"/>
      <c r="B75" s="483"/>
      <c r="C75" s="9"/>
      <c r="D75" s="414"/>
      <c r="E75" s="483"/>
      <c r="F75" s="414"/>
      <c r="G75" s="483">
        <f t="shared" si="0"/>
        <v>0</v>
      </c>
      <c r="H75" s="414">
        <f t="shared" si="0"/>
        <v>0</v>
      </c>
      <c r="I75" s="414"/>
      <c r="J75" s="414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>
        <f t="shared" si="1"/>
        <v>0</v>
      </c>
    </row>
    <row r="76" spans="1:26" ht="15" hidden="1" customHeight="1" x14ac:dyDescent="0.25">
      <c r="A76" s="22"/>
      <c r="B76" s="483"/>
      <c r="C76" s="9"/>
      <c r="D76" s="414"/>
      <c r="E76" s="483"/>
      <c r="F76" s="414"/>
      <c r="G76" s="483">
        <f t="shared" si="0"/>
        <v>0</v>
      </c>
      <c r="H76" s="414">
        <f t="shared" si="0"/>
        <v>0</v>
      </c>
      <c r="I76" s="414"/>
      <c r="J76" s="414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>
        <f t="shared" si="1"/>
        <v>0</v>
      </c>
    </row>
    <row r="77" spans="1:26" ht="15" hidden="1" customHeight="1" x14ac:dyDescent="0.25">
      <c r="A77" s="6"/>
      <c r="B77" s="483"/>
      <c r="C77" s="9"/>
      <c r="D77" s="414"/>
      <c r="E77" s="483"/>
      <c r="F77" s="414"/>
      <c r="G77" s="483">
        <f t="shared" si="0"/>
        <v>0</v>
      </c>
      <c r="H77" s="414">
        <f t="shared" si="0"/>
        <v>0</v>
      </c>
      <c r="I77" s="414"/>
      <c r="J77" s="414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>
        <f t="shared" si="1"/>
        <v>0</v>
      </c>
    </row>
    <row r="78" spans="1:26" ht="15" hidden="1" customHeight="1" x14ac:dyDescent="0.25">
      <c r="A78" s="6"/>
      <c r="B78" s="483"/>
      <c r="C78" s="9"/>
      <c r="D78" s="414"/>
      <c r="E78" s="483"/>
      <c r="F78" s="414"/>
      <c r="G78" s="483">
        <f t="shared" si="0"/>
        <v>0</v>
      </c>
      <c r="H78" s="414">
        <f t="shared" si="0"/>
        <v>0</v>
      </c>
      <c r="I78" s="414"/>
      <c r="J78" s="414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>
        <f t="shared" si="1"/>
        <v>0</v>
      </c>
    </row>
    <row r="79" spans="1:26" ht="15" hidden="1" customHeight="1" x14ac:dyDescent="0.25">
      <c r="A79" s="6"/>
      <c r="B79" s="483"/>
      <c r="C79" s="9"/>
      <c r="D79" s="414"/>
      <c r="E79" s="483"/>
      <c r="F79" s="414"/>
      <c r="G79" s="483">
        <f t="shared" si="0"/>
        <v>0</v>
      </c>
      <c r="H79" s="414">
        <f t="shared" si="0"/>
        <v>0</v>
      </c>
      <c r="I79" s="414"/>
      <c r="J79" s="414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>
        <f t="shared" si="1"/>
        <v>0</v>
      </c>
    </row>
    <row r="80" spans="1:26" ht="15" hidden="1" customHeight="1" x14ac:dyDescent="0.25">
      <c r="A80" s="484"/>
      <c r="B80" s="483"/>
      <c r="C80" s="483"/>
      <c r="D80" s="414"/>
      <c r="E80" s="483"/>
      <c r="F80" s="414"/>
      <c r="G80" s="483">
        <f t="shared" si="0"/>
        <v>0</v>
      </c>
      <c r="H80" s="414">
        <f t="shared" si="0"/>
        <v>0</v>
      </c>
      <c r="I80" s="414"/>
      <c r="J80" s="414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>
        <f t="shared" si="1"/>
        <v>0</v>
      </c>
    </row>
    <row r="81" spans="1:26" ht="15" hidden="1" customHeight="1" x14ac:dyDescent="0.25">
      <c r="A81" s="483"/>
      <c r="B81" s="483"/>
      <c r="C81" s="483"/>
      <c r="D81" s="414"/>
      <c r="E81" s="483"/>
      <c r="F81" s="414"/>
      <c r="G81" s="483">
        <f t="shared" si="0"/>
        <v>0</v>
      </c>
      <c r="H81" s="414">
        <f t="shared" si="0"/>
        <v>0</v>
      </c>
      <c r="I81" s="414"/>
      <c r="J81" s="414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>
        <f t="shared" si="1"/>
        <v>0</v>
      </c>
    </row>
    <row r="82" spans="1:26" ht="15" customHeight="1" x14ac:dyDescent="0.25">
      <c r="A82" s="483"/>
      <c r="B82" s="483"/>
      <c r="C82" s="483"/>
      <c r="D82" s="414"/>
      <c r="E82" s="483"/>
      <c r="F82" s="414"/>
      <c r="G82" s="483">
        <f t="shared" si="0"/>
        <v>0</v>
      </c>
      <c r="H82" s="414">
        <f t="shared" si="0"/>
        <v>0</v>
      </c>
      <c r="I82" s="414"/>
      <c r="J82" s="414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>
        <f t="shared" si="1"/>
        <v>0</v>
      </c>
    </row>
    <row r="83" spans="1:26" ht="15" customHeight="1" x14ac:dyDescent="0.25">
      <c r="A83" s="483"/>
      <c r="B83" s="483"/>
      <c r="C83" s="483"/>
      <c r="D83" s="414"/>
      <c r="E83" s="483"/>
      <c r="F83" s="414"/>
      <c r="G83" s="483">
        <f t="shared" si="0"/>
        <v>0</v>
      </c>
      <c r="H83" s="414">
        <f t="shared" si="0"/>
        <v>0</v>
      </c>
      <c r="I83" s="414"/>
      <c r="J83" s="414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>
        <f t="shared" si="1"/>
        <v>0</v>
      </c>
    </row>
    <row r="84" spans="1:26" ht="15" customHeight="1" x14ac:dyDescent="0.25">
      <c r="A84" s="443" t="s">
        <v>1221</v>
      </c>
      <c r="B84" s="444"/>
      <c r="C84" s="447">
        <f t="shared" ref="C84:Z84" si="2">SUM(C5:C83)</f>
        <v>124</v>
      </c>
      <c r="D84" s="448">
        <f t="shared" si="2"/>
        <v>205743</v>
      </c>
      <c r="E84" s="447">
        <f t="shared" si="2"/>
        <v>115</v>
      </c>
      <c r="F84" s="466">
        <f t="shared" si="2"/>
        <v>199007</v>
      </c>
      <c r="G84" s="447">
        <f t="shared" si="2"/>
        <v>-9</v>
      </c>
      <c r="H84" s="466">
        <f t="shared" si="2"/>
        <v>-6736</v>
      </c>
      <c r="I84" s="448">
        <f t="shared" si="2"/>
        <v>0</v>
      </c>
      <c r="J84" s="448">
        <f t="shared" si="2"/>
        <v>62939.8</v>
      </c>
      <c r="K84" s="447">
        <f t="shared" si="2"/>
        <v>-1</v>
      </c>
      <c r="L84" s="447">
        <f t="shared" si="2"/>
        <v>-1</v>
      </c>
      <c r="M84" s="447">
        <f t="shared" si="2"/>
        <v>0</v>
      </c>
      <c r="N84" s="447">
        <f t="shared" si="2"/>
        <v>-1</v>
      </c>
      <c r="O84" s="447">
        <f t="shared" si="2"/>
        <v>-1</v>
      </c>
      <c r="P84" s="447">
        <f t="shared" si="2"/>
        <v>-1</v>
      </c>
      <c r="Q84" s="447">
        <f t="shared" si="2"/>
        <v>0</v>
      </c>
      <c r="R84" s="447">
        <f t="shared" si="2"/>
        <v>-1</v>
      </c>
      <c r="S84" s="447">
        <f t="shared" si="2"/>
        <v>-3</v>
      </c>
      <c r="T84" s="447">
        <f t="shared" si="2"/>
        <v>0</v>
      </c>
      <c r="U84" s="447">
        <f t="shared" si="2"/>
        <v>0</v>
      </c>
      <c r="V84" s="447">
        <f t="shared" si="2"/>
        <v>0</v>
      </c>
      <c r="W84" s="447">
        <f t="shared" si="2"/>
        <v>0</v>
      </c>
      <c r="X84" s="447">
        <f t="shared" si="2"/>
        <v>0</v>
      </c>
      <c r="Y84" s="447">
        <f t="shared" si="2"/>
        <v>0</v>
      </c>
      <c r="Z84" s="447">
        <f t="shared" si="2"/>
        <v>-9</v>
      </c>
    </row>
    <row r="86" spans="1:26" x14ac:dyDescent="0.25">
      <c r="A86" s="739" t="s">
        <v>1227</v>
      </c>
      <c r="B86" s="739"/>
    </row>
    <row r="87" spans="1:26" ht="30" x14ac:dyDescent="0.25">
      <c r="A87" s="528" t="s">
        <v>1</v>
      </c>
      <c r="B87" s="528"/>
      <c r="C87" s="425" t="s">
        <v>1222</v>
      </c>
      <c r="D87" s="425" t="s">
        <v>1223</v>
      </c>
      <c r="E87" s="425" t="s">
        <v>392</v>
      </c>
      <c r="F87" s="426" t="s">
        <v>2</v>
      </c>
      <c r="G87" s="432" t="s">
        <v>1225</v>
      </c>
      <c r="H87" s="427" t="s">
        <v>1224</v>
      </c>
      <c r="I87" s="427" t="s">
        <v>1498</v>
      </c>
      <c r="J87" s="427" t="s">
        <v>94</v>
      </c>
      <c r="K87" s="424" t="s">
        <v>681</v>
      </c>
      <c r="L87" s="424" t="s">
        <v>1496</v>
      </c>
      <c r="M87" s="424" t="s">
        <v>1497</v>
      </c>
      <c r="N87" s="424" t="s">
        <v>682</v>
      </c>
      <c r="O87" s="424" t="s">
        <v>683</v>
      </c>
      <c r="P87" s="424" t="s">
        <v>87</v>
      </c>
      <c r="Q87" s="424" t="s">
        <v>684</v>
      </c>
      <c r="R87" s="424" t="s">
        <v>685</v>
      </c>
      <c r="S87" s="424" t="s">
        <v>690</v>
      </c>
      <c r="T87" s="424" t="s">
        <v>686</v>
      </c>
      <c r="U87" s="424" t="s">
        <v>687</v>
      </c>
      <c r="V87" s="424" t="s">
        <v>688</v>
      </c>
      <c r="W87" s="424" t="s">
        <v>689</v>
      </c>
      <c r="X87" s="424" t="s">
        <v>138</v>
      </c>
      <c r="Y87" s="424" t="s">
        <v>1385</v>
      </c>
      <c r="Z87" s="424" t="s">
        <v>1238</v>
      </c>
    </row>
    <row r="88" spans="1:26" ht="15" customHeight="1" x14ac:dyDescent="0.25">
      <c r="A88" s="484" t="s">
        <v>1529</v>
      </c>
      <c r="B88" s="483" t="s">
        <v>115</v>
      </c>
      <c r="C88" s="487">
        <v>42321</v>
      </c>
      <c r="D88" s="488">
        <v>42440</v>
      </c>
      <c r="E88" s="486">
        <v>145</v>
      </c>
      <c r="F88" s="488">
        <v>42440</v>
      </c>
      <c r="G88" s="486">
        <v>3</v>
      </c>
      <c r="H88" s="485">
        <v>4650</v>
      </c>
      <c r="I88" s="485">
        <v>5000</v>
      </c>
      <c r="J88" s="485">
        <v>0</v>
      </c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>
        <v>1</v>
      </c>
      <c r="X88" s="483">
        <v>1</v>
      </c>
      <c r="Y88" s="483">
        <v>1</v>
      </c>
      <c r="Z88" s="483">
        <f>SUM(K88:Y88)</f>
        <v>3</v>
      </c>
    </row>
    <row r="89" spans="1:26" ht="15" customHeight="1" x14ac:dyDescent="0.25">
      <c r="A89" s="484" t="s">
        <v>1405</v>
      </c>
      <c r="B89" s="483" t="s">
        <v>115</v>
      </c>
      <c r="C89" s="487">
        <v>42066</v>
      </c>
      <c r="D89" s="488">
        <v>42440</v>
      </c>
      <c r="E89" s="486">
        <v>371</v>
      </c>
      <c r="F89" s="488">
        <v>42248</v>
      </c>
      <c r="G89" s="486">
        <v>3</v>
      </c>
      <c r="H89" s="485">
        <v>4650</v>
      </c>
      <c r="I89" s="485">
        <v>5000</v>
      </c>
      <c r="J89" s="485">
        <v>1860</v>
      </c>
      <c r="K89" s="483"/>
      <c r="L89" s="483"/>
      <c r="M89" s="483"/>
      <c r="N89" s="483"/>
      <c r="O89" s="483"/>
      <c r="P89" s="483">
        <v>1</v>
      </c>
      <c r="Q89" s="483"/>
      <c r="R89" s="483">
        <v>1</v>
      </c>
      <c r="S89" s="483"/>
      <c r="T89" s="483"/>
      <c r="U89" s="483"/>
      <c r="V89" s="483">
        <v>1</v>
      </c>
      <c r="W89" s="483"/>
      <c r="X89" s="483"/>
      <c r="Y89" s="483"/>
      <c r="Z89" s="483">
        <f>SUM(K89:Y89)</f>
        <v>3</v>
      </c>
    </row>
    <row r="90" spans="1:26" ht="15" customHeight="1" x14ac:dyDescent="0.25">
      <c r="A90" s="538" t="s">
        <v>1537</v>
      </c>
      <c r="B90" s="535" t="s">
        <v>115</v>
      </c>
      <c r="C90" s="487">
        <v>42346</v>
      </c>
      <c r="D90" s="488">
        <v>42459</v>
      </c>
      <c r="E90" s="486">
        <v>112</v>
      </c>
      <c r="F90" s="488">
        <v>42459</v>
      </c>
      <c r="G90" s="486">
        <v>7</v>
      </c>
      <c r="H90" s="539">
        <v>11165</v>
      </c>
      <c r="I90" s="539">
        <v>2500</v>
      </c>
      <c r="J90" s="539">
        <v>4466</v>
      </c>
      <c r="K90" s="535">
        <v>1</v>
      </c>
      <c r="L90" s="535">
        <v>1</v>
      </c>
      <c r="M90" s="535">
        <v>1</v>
      </c>
      <c r="N90" s="535">
        <v>1</v>
      </c>
      <c r="O90" s="535">
        <v>1</v>
      </c>
      <c r="P90" s="535"/>
      <c r="Q90" s="535">
        <v>1</v>
      </c>
      <c r="R90" s="535"/>
      <c r="S90" s="535">
        <v>1</v>
      </c>
      <c r="T90" s="535"/>
      <c r="U90" s="535"/>
      <c r="V90" s="535"/>
      <c r="W90" s="535"/>
      <c r="X90" s="535"/>
      <c r="Y90" s="535"/>
      <c r="Z90" s="535">
        <f>SUM(K90:Y90)</f>
        <v>7</v>
      </c>
    </row>
    <row r="91" spans="1:26" x14ac:dyDescent="0.25">
      <c r="A91" s="484" t="s">
        <v>1528</v>
      </c>
      <c r="B91" s="483" t="s">
        <v>100</v>
      </c>
      <c r="C91" s="487">
        <v>42380</v>
      </c>
      <c r="D91" s="488">
        <v>42440</v>
      </c>
      <c r="E91" s="486">
        <v>60</v>
      </c>
      <c r="F91" s="488">
        <v>42415</v>
      </c>
      <c r="G91" s="486">
        <v>6</v>
      </c>
      <c r="H91" s="485">
        <f>9858+2200</f>
        <v>12058</v>
      </c>
      <c r="I91" s="485">
        <f>5000+2800</f>
        <v>7800</v>
      </c>
      <c r="J91" s="485">
        <v>3943</v>
      </c>
      <c r="K91" s="483">
        <v>1</v>
      </c>
      <c r="L91" s="483">
        <v>1</v>
      </c>
      <c r="M91" s="483"/>
      <c r="N91" s="483">
        <v>1</v>
      </c>
      <c r="O91" s="483">
        <v>1</v>
      </c>
      <c r="P91" s="483"/>
      <c r="Q91" s="483">
        <v>1</v>
      </c>
      <c r="R91" s="483">
        <v>1</v>
      </c>
      <c r="S91" s="483"/>
      <c r="T91" s="483"/>
      <c r="U91" s="483"/>
      <c r="V91" s="483"/>
      <c r="W91" s="483"/>
      <c r="X91" s="483"/>
      <c r="Y91" s="483"/>
      <c r="Z91" s="483">
        <f>SUM(K91:Y91)</f>
        <v>6</v>
      </c>
    </row>
    <row r="92" spans="1:26" ht="15" customHeight="1" x14ac:dyDescent="0.25">
      <c r="A92" s="484" t="s">
        <v>1534</v>
      </c>
      <c r="B92" s="483" t="s">
        <v>100</v>
      </c>
      <c r="C92" s="487">
        <v>42404</v>
      </c>
      <c r="D92" s="488">
        <v>42457</v>
      </c>
      <c r="E92" s="486">
        <v>54</v>
      </c>
      <c r="F92" s="488">
        <v>42450</v>
      </c>
      <c r="G92" s="486">
        <v>1</v>
      </c>
      <c r="H92" s="485">
        <v>1643</v>
      </c>
      <c r="I92" s="485">
        <v>5000</v>
      </c>
      <c r="J92" s="485">
        <v>658</v>
      </c>
      <c r="K92" s="483"/>
      <c r="L92" s="483"/>
      <c r="M92" s="483"/>
      <c r="N92" s="483"/>
      <c r="O92" s="483"/>
      <c r="P92" s="483">
        <v>1</v>
      </c>
      <c r="Q92" s="483"/>
      <c r="R92" s="483"/>
      <c r="S92" s="483"/>
      <c r="T92" s="483"/>
      <c r="U92" s="483"/>
      <c r="V92" s="483"/>
      <c r="W92" s="483"/>
      <c r="X92" s="483"/>
      <c r="Y92" s="483"/>
      <c r="Z92" s="483">
        <f>SUM(K92:Y92)</f>
        <v>1</v>
      </c>
    </row>
    <row r="93" spans="1:26" ht="15" customHeight="1" x14ac:dyDescent="0.25">
      <c r="A93" s="484"/>
      <c r="B93" s="483"/>
      <c r="C93" s="487"/>
      <c r="D93" s="488"/>
      <c r="E93" s="486"/>
      <c r="F93" s="488"/>
      <c r="G93" s="486"/>
      <c r="H93" s="485"/>
      <c r="I93" s="485"/>
      <c r="J93" s="485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>
        <f t="shared" ref="Z93:Z95" si="3">SUM(K93:Y93)</f>
        <v>0</v>
      </c>
    </row>
    <row r="94" spans="1:26" ht="15" customHeight="1" x14ac:dyDescent="0.25">
      <c r="A94" s="484"/>
      <c r="B94" s="483"/>
      <c r="C94" s="487"/>
      <c r="D94" s="488"/>
      <c r="E94" s="486"/>
      <c r="F94" s="488"/>
      <c r="G94" s="486"/>
      <c r="H94" s="485"/>
      <c r="I94" s="456"/>
      <c r="J94" s="456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>
        <f t="shared" si="3"/>
        <v>0</v>
      </c>
    </row>
    <row r="95" spans="1:26" ht="15" customHeight="1" x14ac:dyDescent="0.25">
      <c r="A95" s="484"/>
      <c r="B95" s="483"/>
      <c r="C95" s="487"/>
      <c r="D95" s="488"/>
      <c r="E95" s="486"/>
      <c r="F95" s="488"/>
      <c r="G95" s="486"/>
      <c r="H95" s="485"/>
      <c r="I95" s="456"/>
      <c r="J95" s="456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>
        <f t="shared" si="3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SUM(G88:G95)</f>
        <v>20</v>
      </c>
      <c r="H96" s="448">
        <f>SUM(H88:H95)</f>
        <v>34166</v>
      </c>
      <c r="I96" s="448">
        <f t="shared" ref="I96" si="4">SUM(I88:I95)</f>
        <v>25300</v>
      </c>
      <c r="J96" s="448">
        <f>SUM(J88:J95)</f>
        <v>10927</v>
      </c>
      <c r="K96" s="447">
        <f>SUM(K88:K95)</f>
        <v>2</v>
      </c>
      <c r="L96" s="447">
        <f t="shared" ref="L96:Z96" si="5">SUM(L88:L95)</f>
        <v>2</v>
      </c>
      <c r="M96" s="447">
        <f t="shared" si="5"/>
        <v>1</v>
      </c>
      <c r="N96" s="447">
        <f t="shared" si="5"/>
        <v>2</v>
      </c>
      <c r="O96" s="447">
        <f t="shared" si="5"/>
        <v>2</v>
      </c>
      <c r="P96" s="447">
        <f t="shared" si="5"/>
        <v>2</v>
      </c>
      <c r="Q96" s="447">
        <f t="shared" si="5"/>
        <v>2</v>
      </c>
      <c r="R96" s="447">
        <f t="shared" si="5"/>
        <v>2</v>
      </c>
      <c r="S96" s="447">
        <f t="shared" si="5"/>
        <v>1</v>
      </c>
      <c r="T96" s="447">
        <f t="shared" si="5"/>
        <v>0</v>
      </c>
      <c r="U96" s="447">
        <f t="shared" si="5"/>
        <v>0</v>
      </c>
      <c r="V96" s="447">
        <f t="shared" si="5"/>
        <v>1</v>
      </c>
      <c r="W96" s="447">
        <f t="shared" si="5"/>
        <v>1</v>
      </c>
      <c r="X96" s="447">
        <f t="shared" si="5"/>
        <v>1</v>
      </c>
      <c r="Y96" s="447">
        <f t="shared" si="5"/>
        <v>1</v>
      </c>
      <c r="Z96" s="447">
        <f t="shared" si="5"/>
        <v>20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28" t="s">
        <v>1</v>
      </c>
      <c r="B99" s="528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484" t="s">
        <v>1533</v>
      </c>
      <c r="B100" s="483" t="s">
        <v>100</v>
      </c>
      <c r="C100" s="487">
        <v>42299</v>
      </c>
      <c r="D100" s="488">
        <v>42454</v>
      </c>
      <c r="E100" s="486">
        <v>153</v>
      </c>
      <c r="F100" s="488">
        <v>42401</v>
      </c>
      <c r="G100" s="486">
        <v>2</v>
      </c>
      <c r="H100" s="485">
        <v>1654</v>
      </c>
      <c r="I100" s="456">
        <v>0</v>
      </c>
      <c r="J100" s="456">
        <v>662</v>
      </c>
      <c r="K100" s="483">
        <v>1</v>
      </c>
      <c r="L100" s="483">
        <v>1</v>
      </c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>
        <f>SUM(K100:Y100)</f>
        <v>2</v>
      </c>
    </row>
    <row r="101" spans="1:26" s="457" customFormat="1" ht="15" customHeight="1" x14ac:dyDescent="0.25">
      <c r="A101" s="484"/>
      <c r="B101" s="452"/>
      <c r="C101" s="453"/>
      <c r="D101" s="454"/>
      <c r="E101" s="455"/>
      <c r="F101" s="454"/>
      <c r="G101" s="455"/>
      <c r="H101" s="456"/>
      <c r="I101" s="456"/>
      <c r="J101" s="456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535">
        <f t="shared" ref="Z101:Z107" si="6">SUM(K101:Y101)</f>
        <v>0</v>
      </c>
    </row>
    <row r="102" spans="1:26" s="457" customFormat="1" ht="15" customHeight="1" x14ac:dyDescent="0.25">
      <c r="A102" s="484"/>
      <c r="B102" s="452"/>
      <c r="C102" s="453"/>
      <c r="D102" s="454"/>
      <c r="E102" s="455"/>
      <c r="F102" s="454"/>
      <c r="G102" s="455"/>
      <c r="H102" s="456"/>
      <c r="I102" s="456"/>
      <c r="J102" s="456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535">
        <f t="shared" si="6"/>
        <v>0</v>
      </c>
    </row>
    <row r="103" spans="1:26" s="457" customFormat="1" ht="15" customHeight="1" x14ac:dyDescent="0.25">
      <c r="A103" s="484"/>
      <c r="B103" s="452"/>
      <c r="C103" s="453"/>
      <c r="D103" s="454"/>
      <c r="E103" s="455"/>
      <c r="F103" s="454"/>
      <c r="G103" s="455"/>
      <c r="H103" s="456"/>
      <c r="I103" s="456"/>
      <c r="J103" s="456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535">
        <f t="shared" si="6"/>
        <v>0</v>
      </c>
    </row>
    <row r="104" spans="1:26" s="457" customFormat="1" ht="15" customHeight="1" x14ac:dyDescent="0.25">
      <c r="A104" s="484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>
        <f t="shared" si="6"/>
        <v>0</v>
      </c>
    </row>
    <row r="105" spans="1:26" s="457" customFormat="1" ht="15" customHeight="1" x14ac:dyDescent="0.25">
      <c r="A105" s="484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6"/>
        <v>0</v>
      </c>
    </row>
    <row r="106" spans="1:26" s="457" customFormat="1" ht="15" customHeight="1" x14ac:dyDescent="0.25">
      <c r="A106" s="45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6"/>
        <v>0</v>
      </c>
    </row>
    <row r="107" spans="1:26" s="457" customFormat="1" ht="15" customHeight="1" x14ac:dyDescent="0.25">
      <c r="A107" s="45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>
        <f t="shared" si="6"/>
        <v>0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7">SUM(G100:G107)</f>
        <v>2</v>
      </c>
      <c r="H108" s="448">
        <f t="shared" si="7"/>
        <v>1654</v>
      </c>
      <c r="I108" s="448">
        <f>SUM(I100:I107)</f>
        <v>0</v>
      </c>
      <c r="J108" s="448">
        <f>SUM(J100:J107)</f>
        <v>662</v>
      </c>
      <c r="K108" s="447">
        <f t="shared" si="7"/>
        <v>1</v>
      </c>
      <c r="L108" s="447">
        <f t="shared" si="7"/>
        <v>1</v>
      </c>
      <c r="M108" s="447">
        <f t="shared" si="7"/>
        <v>0</v>
      </c>
      <c r="N108" s="447">
        <f t="shared" si="7"/>
        <v>0</v>
      </c>
      <c r="O108" s="447">
        <f t="shared" si="7"/>
        <v>0</v>
      </c>
      <c r="P108" s="447">
        <f t="shared" si="7"/>
        <v>0</v>
      </c>
      <c r="Q108" s="447">
        <f t="shared" si="7"/>
        <v>0</v>
      </c>
      <c r="R108" s="447">
        <f t="shared" si="7"/>
        <v>0</v>
      </c>
      <c r="S108" s="447">
        <f t="shared" si="7"/>
        <v>0</v>
      </c>
      <c r="T108" s="447">
        <f t="shared" si="7"/>
        <v>0</v>
      </c>
      <c r="U108" s="447">
        <f t="shared" si="7"/>
        <v>0</v>
      </c>
      <c r="V108" s="447">
        <f t="shared" si="7"/>
        <v>0</v>
      </c>
      <c r="W108" s="447">
        <f t="shared" si="7"/>
        <v>0</v>
      </c>
      <c r="X108" s="447"/>
      <c r="Y108" s="447"/>
      <c r="Z108" s="447">
        <f t="shared" si="7"/>
        <v>2</v>
      </c>
    </row>
    <row r="110" spans="1:26" x14ac:dyDescent="0.25">
      <c r="A110" s="739" t="s">
        <v>1229</v>
      </c>
      <c r="B110" s="739"/>
    </row>
    <row r="111" spans="1:26" ht="30" x14ac:dyDescent="0.25">
      <c r="A111" s="528" t="s">
        <v>1</v>
      </c>
      <c r="B111" s="528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484" t="s">
        <v>56</v>
      </c>
      <c r="B112" s="452" t="s">
        <v>115</v>
      </c>
      <c r="C112" s="453">
        <v>42436</v>
      </c>
      <c r="D112" s="454">
        <v>42440</v>
      </c>
      <c r="E112" s="455">
        <v>4</v>
      </c>
      <c r="F112" s="454">
        <v>42439</v>
      </c>
      <c r="G112" s="455">
        <v>-5</v>
      </c>
      <c r="H112" s="456">
        <f>-5405-2200</f>
        <v>-7605</v>
      </c>
      <c r="I112" s="456"/>
      <c r="J112" s="456">
        <v>-2162</v>
      </c>
      <c r="K112" s="452"/>
      <c r="L112" s="452">
        <v>-1</v>
      </c>
      <c r="M112" s="452"/>
      <c r="N112" s="452"/>
      <c r="O112" s="452">
        <v>-1</v>
      </c>
      <c r="P112" s="452"/>
      <c r="Q112" s="452">
        <v>-1</v>
      </c>
      <c r="R112" s="452">
        <v>-1</v>
      </c>
      <c r="S112" s="452"/>
      <c r="T112" s="452">
        <v>-1</v>
      </c>
      <c r="U112" s="452"/>
      <c r="V112" s="452"/>
      <c r="W112" s="452"/>
      <c r="X112" s="452"/>
      <c r="Y112" s="452"/>
      <c r="Z112" s="483">
        <f>SUM(K112:Y112)</f>
        <v>-5</v>
      </c>
    </row>
    <row r="113" spans="1:26" ht="15" customHeight="1" x14ac:dyDescent="0.25">
      <c r="A113" s="484" t="s">
        <v>1532</v>
      </c>
      <c r="B113" s="483" t="s">
        <v>115</v>
      </c>
      <c r="C113" s="487">
        <v>42423</v>
      </c>
      <c r="D113" s="488">
        <v>42445</v>
      </c>
      <c r="E113" s="486">
        <v>23</v>
      </c>
      <c r="F113" s="488">
        <v>42430</v>
      </c>
      <c r="G113" s="486">
        <v>-2</v>
      </c>
      <c r="H113" s="485">
        <v>-3286</v>
      </c>
      <c r="I113" s="485"/>
      <c r="J113" s="485">
        <v>-1314</v>
      </c>
      <c r="K113" s="483"/>
      <c r="L113" s="483"/>
      <c r="M113" s="483"/>
      <c r="N113" s="483"/>
      <c r="O113" s="483"/>
      <c r="P113" s="483"/>
      <c r="Q113" s="483"/>
      <c r="R113" s="483"/>
      <c r="S113" s="483"/>
      <c r="T113" s="483">
        <v>-1</v>
      </c>
      <c r="U113" s="483">
        <v>-1</v>
      </c>
      <c r="V113" s="483"/>
      <c r="W113" s="483"/>
      <c r="X113" s="483"/>
      <c r="Y113" s="483"/>
      <c r="Z113" s="535">
        <f t="shared" ref="Z113:Z114" si="8">SUM(K113:Y113)</f>
        <v>-2</v>
      </c>
    </row>
    <row r="114" spans="1:26" ht="15" customHeight="1" x14ac:dyDescent="0.25">
      <c r="A114" s="484" t="s">
        <v>1501</v>
      </c>
      <c r="B114" s="483" t="s">
        <v>100</v>
      </c>
      <c r="C114" s="487">
        <v>42418</v>
      </c>
      <c r="D114" s="488">
        <v>42458</v>
      </c>
      <c r="E114" s="486">
        <v>41</v>
      </c>
      <c r="F114" s="488">
        <v>42454</v>
      </c>
      <c r="G114" s="486">
        <v>-1</v>
      </c>
      <c r="H114" s="485">
        <v>-1595</v>
      </c>
      <c r="I114" s="485"/>
      <c r="J114" s="485">
        <v>-638</v>
      </c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>
        <v>-1</v>
      </c>
      <c r="W114" s="483"/>
      <c r="X114" s="483"/>
      <c r="Y114" s="483"/>
      <c r="Z114" s="535">
        <f t="shared" si="8"/>
        <v>-1</v>
      </c>
    </row>
    <row r="115" spans="1:26" ht="15" customHeight="1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-8</v>
      </c>
      <c r="H115" s="448">
        <f>SUM(H112:H114)</f>
        <v>-12486</v>
      </c>
      <c r="I115" s="448">
        <f t="shared" ref="I115:Z115" si="9">SUM(I112:I114)</f>
        <v>0</v>
      </c>
      <c r="J115" s="448">
        <f>SUM(J112:J114)</f>
        <v>-4114</v>
      </c>
      <c r="K115" s="447">
        <f t="shared" si="9"/>
        <v>0</v>
      </c>
      <c r="L115" s="447">
        <f t="shared" si="9"/>
        <v>-1</v>
      </c>
      <c r="M115" s="447">
        <f t="shared" si="9"/>
        <v>0</v>
      </c>
      <c r="N115" s="447">
        <f t="shared" si="9"/>
        <v>0</v>
      </c>
      <c r="O115" s="447">
        <f t="shared" si="9"/>
        <v>-1</v>
      </c>
      <c r="P115" s="447">
        <f t="shared" si="9"/>
        <v>0</v>
      </c>
      <c r="Q115" s="447">
        <f t="shared" si="9"/>
        <v>-1</v>
      </c>
      <c r="R115" s="447">
        <f t="shared" si="9"/>
        <v>-1</v>
      </c>
      <c r="S115" s="447">
        <f t="shared" si="9"/>
        <v>0</v>
      </c>
      <c r="T115" s="447">
        <f t="shared" si="9"/>
        <v>-2</v>
      </c>
      <c r="U115" s="447">
        <f t="shared" si="9"/>
        <v>-1</v>
      </c>
      <c r="V115" s="447">
        <f t="shared" si="9"/>
        <v>-1</v>
      </c>
      <c r="W115" s="447">
        <f t="shared" si="9"/>
        <v>0</v>
      </c>
      <c r="X115" s="447"/>
      <c r="Y115" s="447"/>
      <c r="Z115" s="447">
        <f t="shared" si="9"/>
        <v>-8</v>
      </c>
    </row>
    <row r="117" spans="1:26" x14ac:dyDescent="0.25">
      <c r="A117" s="739" t="s">
        <v>1231</v>
      </c>
      <c r="B117" s="739"/>
    </row>
    <row r="118" spans="1:26" ht="30" x14ac:dyDescent="0.25">
      <c r="A118" s="528" t="s">
        <v>1</v>
      </c>
      <c r="B118" s="528" t="s">
        <v>59</v>
      </c>
      <c r="C118" s="425"/>
      <c r="D118" s="425"/>
      <c r="E118" s="425"/>
      <c r="F118" s="426"/>
      <c r="G118" s="432" t="s">
        <v>1225</v>
      </c>
      <c r="H118" s="427" t="s">
        <v>1224</v>
      </c>
      <c r="I118" s="427" t="s">
        <v>1498</v>
      </c>
      <c r="J118" s="427" t="s">
        <v>94</v>
      </c>
      <c r="K118" s="424" t="s">
        <v>681</v>
      </c>
      <c r="L118" s="424" t="s">
        <v>1496</v>
      </c>
      <c r="M118" s="424" t="s">
        <v>1497</v>
      </c>
      <c r="N118" s="424" t="s">
        <v>682</v>
      </c>
      <c r="O118" s="424" t="s">
        <v>683</v>
      </c>
      <c r="P118" s="424" t="s">
        <v>87</v>
      </c>
      <c r="Q118" s="424" t="s">
        <v>684</v>
      </c>
      <c r="R118" s="424" t="s">
        <v>685</v>
      </c>
      <c r="S118" s="424" t="s">
        <v>690</v>
      </c>
      <c r="T118" s="424" t="s">
        <v>686</v>
      </c>
      <c r="U118" s="424" t="s">
        <v>687</v>
      </c>
      <c r="V118" s="424" t="s">
        <v>688</v>
      </c>
      <c r="W118" s="424" t="s">
        <v>689</v>
      </c>
      <c r="X118" s="424" t="s">
        <v>138</v>
      </c>
      <c r="Y118" s="424" t="s">
        <v>1385</v>
      </c>
      <c r="Z118" s="424" t="s">
        <v>1238</v>
      </c>
    </row>
    <row r="119" spans="1:26" ht="15" customHeight="1" x14ac:dyDescent="0.25">
      <c r="A119" s="484"/>
      <c r="B119" s="483"/>
      <c r="C119" s="487"/>
      <c r="D119" s="488"/>
      <c r="E119" s="486"/>
      <c r="F119" s="488"/>
      <c r="G119" s="486"/>
      <c r="H119" s="485"/>
      <c r="I119" s="485"/>
      <c r="J119" s="485"/>
      <c r="K119" s="483"/>
      <c r="L119" s="483"/>
      <c r="M119" s="483"/>
      <c r="N119" s="483"/>
      <c r="O119" s="483"/>
      <c r="P119" s="483"/>
      <c r="Q119" s="483"/>
      <c r="R119" s="483"/>
      <c r="S119" s="483"/>
      <c r="T119" s="483"/>
      <c r="U119" s="483"/>
      <c r="V119" s="483"/>
      <c r="W119" s="483"/>
      <c r="X119" s="483"/>
      <c r="Y119" s="483"/>
      <c r="Z119" s="483">
        <f t="shared" ref="Z119:Z121" si="10">SUM(K119:Y119)</f>
        <v>0</v>
      </c>
    </row>
    <row r="120" spans="1:26" ht="15" customHeight="1" x14ac:dyDescent="0.25">
      <c r="A120" s="484"/>
      <c r="B120" s="483"/>
      <c r="C120" s="487"/>
      <c r="D120" s="488"/>
      <c r="E120" s="486"/>
      <c r="F120" s="488"/>
      <c r="G120" s="486"/>
      <c r="H120" s="485"/>
      <c r="I120" s="485"/>
      <c r="J120" s="485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483"/>
      <c r="W120" s="483"/>
      <c r="X120" s="483"/>
      <c r="Y120" s="483"/>
      <c r="Z120" s="483">
        <f t="shared" si="10"/>
        <v>0</v>
      </c>
    </row>
    <row r="121" spans="1:26" ht="15" customHeight="1" x14ac:dyDescent="0.25">
      <c r="A121" s="484"/>
      <c r="B121" s="483"/>
      <c r="C121" s="487"/>
      <c r="D121" s="488"/>
      <c r="E121" s="486"/>
      <c r="F121" s="488"/>
      <c r="G121" s="486"/>
      <c r="H121" s="485"/>
      <c r="I121" s="485"/>
      <c r="J121" s="485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83"/>
      <c r="Y121" s="483"/>
      <c r="Z121" s="483">
        <f t="shared" si="10"/>
        <v>0</v>
      </c>
    </row>
    <row r="122" spans="1:26" ht="15" customHeight="1" x14ac:dyDescent="0.25">
      <c r="A122" s="443" t="s">
        <v>1230</v>
      </c>
      <c r="B122" s="444"/>
      <c r="C122" s="445"/>
      <c r="D122" s="446"/>
      <c r="E122" s="447"/>
      <c r="F122" s="446"/>
      <c r="G122" s="447">
        <f>SUM(G119:G121)</f>
        <v>0</v>
      </c>
      <c r="H122" s="448">
        <f>SUM(H119:H121)</f>
        <v>0</v>
      </c>
      <c r="I122" s="448">
        <f t="shared" ref="I122:Z122" si="11">SUM(I119:I121)</f>
        <v>0</v>
      </c>
      <c r="J122" s="448">
        <f t="shared" si="11"/>
        <v>0</v>
      </c>
      <c r="K122" s="447">
        <f t="shared" si="11"/>
        <v>0</v>
      </c>
      <c r="L122" s="447">
        <f t="shared" si="11"/>
        <v>0</v>
      </c>
      <c r="M122" s="447">
        <f t="shared" si="11"/>
        <v>0</v>
      </c>
      <c r="N122" s="447">
        <f t="shared" si="11"/>
        <v>0</v>
      </c>
      <c r="O122" s="447">
        <f t="shared" si="11"/>
        <v>0</v>
      </c>
      <c r="P122" s="447">
        <f t="shared" si="11"/>
        <v>0</v>
      </c>
      <c r="Q122" s="447">
        <f t="shared" si="11"/>
        <v>0</v>
      </c>
      <c r="R122" s="447">
        <f t="shared" si="11"/>
        <v>0</v>
      </c>
      <c r="S122" s="447">
        <f t="shared" si="11"/>
        <v>0</v>
      </c>
      <c r="T122" s="447">
        <f t="shared" si="11"/>
        <v>0</v>
      </c>
      <c r="U122" s="447">
        <f t="shared" si="11"/>
        <v>0</v>
      </c>
      <c r="V122" s="447">
        <f t="shared" si="11"/>
        <v>0</v>
      </c>
      <c r="W122" s="447">
        <f t="shared" si="11"/>
        <v>0</v>
      </c>
      <c r="X122" s="447"/>
      <c r="Y122" s="447"/>
      <c r="Z122" s="447">
        <f t="shared" si="11"/>
        <v>0</v>
      </c>
    </row>
    <row r="123" spans="1:26" ht="15.75" thickBot="1" x14ac:dyDescent="0.3"/>
    <row r="124" spans="1:26" ht="15.75" thickBot="1" x14ac:dyDescent="0.3">
      <c r="A124" s="436" t="s">
        <v>1232</v>
      </c>
      <c r="B124" s="434"/>
      <c r="C124" s="434"/>
      <c r="D124" s="434"/>
      <c r="E124" s="434"/>
      <c r="F124" s="434"/>
      <c r="G124" s="437">
        <f t="shared" ref="G124:Z124" si="12">G84+G96+G108+G115+G122</f>
        <v>5</v>
      </c>
      <c r="H124" s="438">
        <f t="shared" si="12"/>
        <v>16598</v>
      </c>
      <c r="I124" s="438">
        <f t="shared" si="12"/>
        <v>25300</v>
      </c>
      <c r="J124" s="438">
        <f t="shared" si="12"/>
        <v>70414.8</v>
      </c>
      <c r="K124" s="450">
        <f t="shared" si="12"/>
        <v>2</v>
      </c>
      <c r="L124" s="450">
        <f t="shared" si="12"/>
        <v>1</v>
      </c>
      <c r="M124" s="450">
        <f t="shared" si="12"/>
        <v>1</v>
      </c>
      <c r="N124" s="450">
        <f t="shared" si="12"/>
        <v>1</v>
      </c>
      <c r="O124" s="450">
        <f t="shared" si="12"/>
        <v>0</v>
      </c>
      <c r="P124" s="450">
        <f t="shared" si="12"/>
        <v>1</v>
      </c>
      <c r="Q124" s="450">
        <f t="shared" si="12"/>
        <v>1</v>
      </c>
      <c r="R124" s="450">
        <f t="shared" si="12"/>
        <v>0</v>
      </c>
      <c r="S124" s="450">
        <f t="shared" si="12"/>
        <v>-2</v>
      </c>
      <c r="T124" s="450">
        <f t="shared" si="12"/>
        <v>-2</v>
      </c>
      <c r="U124" s="450">
        <f t="shared" si="12"/>
        <v>-1</v>
      </c>
      <c r="V124" s="450">
        <f t="shared" si="12"/>
        <v>0</v>
      </c>
      <c r="W124" s="450">
        <f t="shared" si="12"/>
        <v>1</v>
      </c>
      <c r="X124" s="450">
        <f t="shared" si="12"/>
        <v>1</v>
      </c>
      <c r="Y124" s="450">
        <f t="shared" si="12"/>
        <v>1</v>
      </c>
      <c r="Z124" s="450">
        <f t="shared" si="12"/>
        <v>5</v>
      </c>
    </row>
    <row r="125" spans="1:26" ht="15.75" thickBot="1" x14ac:dyDescent="0.3">
      <c r="A125" s="436" t="s">
        <v>64</v>
      </c>
      <c r="B125" s="434"/>
      <c r="C125" s="434"/>
      <c r="D125" s="434"/>
      <c r="E125" s="434"/>
      <c r="F125" s="434"/>
      <c r="G125" s="437"/>
      <c r="H125" s="438"/>
      <c r="I125" s="438"/>
      <c r="J125" s="438"/>
    </row>
    <row r="126" spans="1:26" ht="15.75" thickBot="1" x14ac:dyDescent="0.3">
      <c r="A126" s="439" t="s">
        <v>452</v>
      </c>
      <c r="B126" s="440"/>
      <c r="C126" s="440"/>
      <c r="D126" s="440"/>
      <c r="E126" s="440"/>
      <c r="F126" s="440"/>
      <c r="G126" s="441"/>
      <c r="H126" s="442">
        <f>H124-H125</f>
        <v>16598</v>
      </c>
      <c r="I126" s="442"/>
      <c r="J126" s="442"/>
    </row>
    <row r="127" spans="1:26" x14ac:dyDescent="0.25">
      <c r="J127" s="419" t="s">
        <v>385</v>
      </c>
      <c r="K127" s="520">
        <f>K96+K108</f>
        <v>3</v>
      </c>
      <c r="L127" s="520">
        <f t="shared" ref="L127:Y127" si="13">L96+L108</f>
        <v>3</v>
      </c>
      <c r="M127" s="520">
        <f t="shared" si="13"/>
        <v>1</v>
      </c>
      <c r="N127" s="520">
        <f t="shared" si="13"/>
        <v>2</v>
      </c>
      <c r="O127" s="520">
        <f t="shared" si="13"/>
        <v>2</v>
      </c>
      <c r="P127" s="520">
        <f t="shared" si="13"/>
        <v>2</v>
      </c>
      <c r="Q127" s="520">
        <f t="shared" si="13"/>
        <v>2</v>
      </c>
      <c r="R127" s="520">
        <f t="shared" si="13"/>
        <v>2</v>
      </c>
      <c r="S127" s="520">
        <f t="shared" si="13"/>
        <v>1</v>
      </c>
      <c r="T127" s="520">
        <f t="shared" si="13"/>
        <v>0</v>
      </c>
      <c r="U127" s="520">
        <f t="shared" si="13"/>
        <v>0</v>
      </c>
      <c r="V127" s="520">
        <f t="shared" si="13"/>
        <v>1</v>
      </c>
      <c r="W127" s="520">
        <f t="shared" si="13"/>
        <v>1</v>
      </c>
      <c r="X127" s="520">
        <f t="shared" si="13"/>
        <v>1</v>
      </c>
      <c r="Y127" s="520">
        <f t="shared" si="13"/>
        <v>1</v>
      </c>
      <c r="Z127" s="520">
        <f t="shared" ref="Z127" si="14">Z95+Z107</f>
        <v>0</v>
      </c>
    </row>
    <row r="128" spans="1:26" x14ac:dyDescent="0.25">
      <c r="J128" s="419" t="s">
        <v>1522</v>
      </c>
      <c r="K128" s="520">
        <f>K84+K115+K122</f>
        <v>-1</v>
      </c>
      <c r="L128" s="520">
        <f t="shared" ref="L128:Y128" si="15">L84+L115+L122</f>
        <v>-2</v>
      </c>
      <c r="M128" s="520">
        <f t="shared" si="15"/>
        <v>0</v>
      </c>
      <c r="N128" s="520">
        <f t="shared" si="15"/>
        <v>-1</v>
      </c>
      <c r="O128" s="520">
        <f t="shared" si="15"/>
        <v>-2</v>
      </c>
      <c r="P128" s="520">
        <f t="shared" si="15"/>
        <v>-1</v>
      </c>
      <c r="Q128" s="520">
        <f t="shared" si="15"/>
        <v>-1</v>
      </c>
      <c r="R128" s="520">
        <f t="shared" si="15"/>
        <v>-2</v>
      </c>
      <c r="S128" s="520">
        <f t="shared" si="15"/>
        <v>-3</v>
      </c>
      <c r="T128" s="520">
        <f t="shared" si="15"/>
        <v>-2</v>
      </c>
      <c r="U128" s="520">
        <f t="shared" si="15"/>
        <v>-1</v>
      </c>
      <c r="V128" s="520">
        <f t="shared" si="15"/>
        <v>-1</v>
      </c>
      <c r="W128" s="520">
        <f t="shared" si="15"/>
        <v>0</v>
      </c>
      <c r="X128" s="520">
        <f t="shared" si="15"/>
        <v>0</v>
      </c>
      <c r="Y128" s="520">
        <f t="shared" si="15"/>
        <v>0</v>
      </c>
      <c r="Z128" s="520">
        <f>Z122+Z115</f>
        <v>-8</v>
      </c>
    </row>
    <row r="129" spans="8:25" x14ac:dyDescent="0.25">
      <c r="H129" s="435">
        <f>H84+H108+H115+H122</f>
        <v>-17568</v>
      </c>
      <c r="I129" s="435"/>
      <c r="J129" s="435" t="s">
        <v>1523</v>
      </c>
      <c r="V129" s="520">
        <f>SUM(K127:V127)</f>
        <v>19</v>
      </c>
    </row>
    <row r="130" spans="8:25" x14ac:dyDescent="0.25">
      <c r="J130" s="419" t="s">
        <v>1524</v>
      </c>
      <c r="V130" s="520">
        <f>SUM(K128:V128)</f>
        <v>-17</v>
      </c>
    </row>
    <row r="131" spans="8:25" x14ac:dyDescent="0.25">
      <c r="J131" s="419" t="s">
        <v>1525</v>
      </c>
      <c r="Y131" s="520">
        <f>SUM(W127:Y127)</f>
        <v>3</v>
      </c>
    </row>
    <row r="132" spans="8:25" x14ac:dyDescent="0.25">
      <c r="J132" s="419" t="s">
        <v>1526</v>
      </c>
      <c r="Y132" s="520">
        <f>SUM(W128:Y128)</f>
        <v>0</v>
      </c>
    </row>
  </sheetData>
  <sortState ref="A88:Z92">
    <sortCondition ref="B88:B92"/>
  </sortState>
  <mergeCells count="8">
    <mergeCell ref="G3:H3"/>
    <mergeCell ref="A86:B86"/>
    <mergeCell ref="A98:B98"/>
    <mergeCell ref="A110:B110"/>
    <mergeCell ref="A117:B11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32"/>
  <sheetViews>
    <sheetView topLeftCell="A94" zoomScale="80" zoomScaleNormal="80" workbookViewId="0">
      <selection activeCell="O133" sqref="O133"/>
    </sheetView>
  </sheetViews>
  <sheetFormatPr defaultColWidth="8.85546875" defaultRowHeight="15" x14ac:dyDescent="0.25"/>
  <cols>
    <col min="1" max="1" width="62.425781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7" width="11.85546875" style="419" customWidth="1"/>
    <col min="8" max="8" width="13.42578125" style="419" bestFit="1" customWidth="1"/>
    <col min="9" max="9" width="11.85546875" style="419" customWidth="1"/>
    <col min="10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44" t="s">
        <v>1</v>
      </c>
      <c r="B4" s="544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5" t="s">
        <v>324</v>
      </c>
      <c r="B5" s="531" t="s">
        <v>115</v>
      </c>
      <c r="C5" s="531">
        <v>6</v>
      </c>
      <c r="D5" s="542">
        <v>10155</v>
      </c>
      <c r="E5" s="535">
        <v>6</v>
      </c>
      <c r="F5" s="542">
        <v>10459</v>
      </c>
      <c r="G5" s="535">
        <f t="shared" ref="G5:G36" si="0">E5-C5</f>
        <v>0</v>
      </c>
      <c r="H5" s="542">
        <f t="shared" ref="H5:H36" si="1">F5-D5</f>
        <v>304</v>
      </c>
      <c r="I5" s="542"/>
      <c r="J5" s="542">
        <v>4000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36" si="2">SUM(K5:Y5)</f>
        <v>0</v>
      </c>
    </row>
    <row r="6" spans="1:26" ht="14.45" customHeight="1" x14ac:dyDescent="0.25">
      <c r="A6" s="531" t="s">
        <v>24</v>
      </c>
      <c r="B6" s="530" t="s">
        <v>100</v>
      </c>
      <c r="C6" s="531">
        <v>7</v>
      </c>
      <c r="D6" s="542">
        <v>6705</v>
      </c>
      <c r="E6" s="535">
        <v>7</v>
      </c>
      <c r="F6" s="542">
        <v>6404</v>
      </c>
      <c r="G6" s="535">
        <f t="shared" si="0"/>
        <v>0</v>
      </c>
      <c r="H6" s="542">
        <f t="shared" si="1"/>
        <v>-301</v>
      </c>
      <c r="I6" s="542"/>
      <c r="J6" s="542">
        <v>2562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0" t="s">
        <v>1256</v>
      </c>
      <c r="B7" s="530" t="s">
        <v>100</v>
      </c>
      <c r="C7" s="530">
        <v>1</v>
      </c>
      <c r="D7" s="542">
        <v>1595</v>
      </c>
      <c r="E7" s="535">
        <v>1</v>
      </c>
      <c r="F7" s="542">
        <v>1643</v>
      </c>
      <c r="G7" s="535">
        <f t="shared" si="0"/>
        <v>0</v>
      </c>
      <c r="H7" s="542">
        <f t="shared" si="1"/>
        <v>48</v>
      </c>
      <c r="I7" s="542"/>
      <c r="J7" s="542">
        <v>657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1" t="s">
        <v>169</v>
      </c>
      <c r="B8" s="530" t="s">
        <v>100</v>
      </c>
      <c r="C8" s="531">
        <v>3</v>
      </c>
      <c r="D8" s="542">
        <v>5400</v>
      </c>
      <c r="E8" s="524">
        <v>3</v>
      </c>
      <c r="F8" s="477">
        <v>5400</v>
      </c>
      <c r="G8" s="535">
        <f t="shared" si="0"/>
        <v>0</v>
      </c>
      <c r="H8" s="542">
        <f t="shared" si="1"/>
        <v>0</v>
      </c>
      <c r="I8" s="542"/>
      <c r="J8" s="542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1" t="s">
        <v>247</v>
      </c>
      <c r="B9" s="531" t="s">
        <v>115</v>
      </c>
      <c r="C9" s="531">
        <v>8</v>
      </c>
      <c r="D9" s="542">
        <v>12154.5</v>
      </c>
      <c r="E9" s="535">
        <v>8</v>
      </c>
      <c r="F9" s="542">
        <v>13521</v>
      </c>
      <c r="G9" s="535">
        <f t="shared" si="0"/>
        <v>0</v>
      </c>
      <c r="H9" s="542">
        <f t="shared" si="1"/>
        <v>1366.5</v>
      </c>
      <c r="I9" s="542"/>
      <c r="J9" s="542">
        <v>4000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1" t="s">
        <v>313</v>
      </c>
      <c r="B10" s="531" t="s">
        <v>115</v>
      </c>
      <c r="C10" s="531">
        <v>7</v>
      </c>
      <c r="D10" s="542">
        <v>8316</v>
      </c>
      <c r="E10" s="535">
        <v>7</v>
      </c>
      <c r="F10" s="542">
        <v>8555</v>
      </c>
      <c r="G10" s="535">
        <f t="shared" si="0"/>
        <v>0</v>
      </c>
      <c r="H10" s="542">
        <f t="shared" si="1"/>
        <v>239</v>
      </c>
      <c r="I10" s="542"/>
      <c r="J10" s="542">
        <v>3422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0" t="s">
        <v>202</v>
      </c>
      <c r="B11" s="530" t="s">
        <v>100</v>
      </c>
      <c r="C11" s="531">
        <v>7</v>
      </c>
      <c r="D11" s="542">
        <v>9824</v>
      </c>
      <c r="E11" s="535">
        <v>7</v>
      </c>
      <c r="F11" s="542">
        <v>9212</v>
      </c>
      <c r="G11" s="535">
        <f t="shared" si="0"/>
        <v>0</v>
      </c>
      <c r="H11" s="542">
        <f t="shared" si="1"/>
        <v>-612</v>
      </c>
      <c r="I11" s="542"/>
      <c r="J11" s="542">
        <v>3685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0" t="s">
        <v>196</v>
      </c>
      <c r="B12" s="530" t="s">
        <v>115</v>
      </c>
      <c r="C12" s="531">
        <v>5</v>
      </c>
      <c r="D12" s="542">
        <v>8210</v>
      </c>
      <c r="E12" s="535">
        <v>5</v>
      </c>
      <c r="F12" s="542">
        <v>8346</v>
      </c>
      <c r="G12" s="535">
        <f t="shared" si="0"/>
        <v>0</v>
      </c>
      <c r="H12" s="542">
        <f t="shared" si="1"/>
        <v>136</v>
      </c>
      <c r="I12" s="542"/>
      <c r="J12" s="542">
        <v>3338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0" t="s">
        <v>23</v>
      </c>
      <c r="B13" s="530" t="s">
        <v>115</v>
      </c>
      <c r="C13" s="531">
        <v>8</v>
      </c>
      <c r="D13" s="542">
        <v>10210.5</v>
      </c>
      <c r="E13" s="535">
        <v>8</v>
      </c>
      <c r="F13" s="542">
        <v>10613</v>
      </c>
      <c r="G13" s="535">
        <f t="shared" si="0"/>
        <v>0</v>
      </c>
      <c r="H13" s="542">
        <f t="shared" si="1"/>
        <v>402.5</v>
      </c>
      <c r="I13" s="542"/>
      <c r="J13" s="542">
        <v>4000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0" t="s">
        <v>248</v>
      </c>
      <c r="B14" s="530" t="s">
        <v>115</v>
      </c>
      <c r="C14" s="531">
        <v>2</v>
      </c>
      <c r="D14" s="542">
        <v>840</v>
      </c>
      <c r="E14" s="535">
        <v>2</v>
      </c>
      <c r="F14" s="542">
        <v>1835</v>
      </c>
      <c r="G14" s="535">
        <f t="shared" si="0"/>
        <v>0</v>
      </c>
      <c r="H14" s="542">
        <f t="shared" si="1"/>
        <v>995</v>
      </c>
      <c r="I14" s="542"/>
      <c r="J14" s="542">
        <v>734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0" t="s">
        <v>249</v>
      </c>
      <c r="B15" s="530" t="s">
        <v>115</v>
      </c>
      <c r="C15" s="531">
        <v>2</v>
      </c>
      <c r="D15" s="542">
        <v>840</v>
      </c>
      <c r="E15" s="535">
        <v>2</v>
      </c>
      <c r="F15" s="542">
        <v>1730</v>
      </c>
      <c r="G15" s="535">
        <f t="shared" si="0"/>
        <v>0</v>
      </c>
      <c r="H15" s="542">
        <f t="shared" si="1"/>
        <v>890</v>
      </c>
      <c r="I15" s="542"/>
      <c r="J15" s="542">
        <v>692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0" t="s">
        <v>1313</v>
      </c>
      <c r="B16" s="530" t="s">
        <v>100</v>
      </c>
      <c r="C16" s="530">
        <v>3</v>
      </c>
      <c r="D16" s="542">
        <v>4785</v>
      </c>
      <c r="E16" s="535">
        <v>3</v>
      </c>
      <c r="F16" s="542">
        <v>4929</v>
      </c>
      <c r="G16" s="535">
        <f t="shared" si="0"/>
        <v>0</v>
      </c>
      <c r="H16" s="542">
        <f t="shared" si="1"/>
        <v>144</v>
      </c>
      <c r="I16" s="542"/>
      <c r="J16" s="542">
        <v>1972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0" t="s">
        <v>246</v>
      </c>
      <c r="B17" s="530" t="s">
        <v>115</v>
      </c>
      <c r="C17" s="531">
        <v>11</v>
      </c>
      <c r="D17" s="542">
        <v>14004.5</v>
      </c>
      <c r="E17" s="535">
        <v>11</v>
      </c>
      <c r="F17" s="542">
        <v>14618</v>
      </c>
      <c r="G17" s="535">
        <f t="shared" si="0"/>
        <v>0</v>
      </c>
      <c r="H17" s="542">
        <f t="shared" si="1"/>
        <v>613.5</v>
      </c>
      <c r="I17" s="542"/>
      <c r="J17" s="542">
        <v>4000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0" t="s">
        <v>1535</v>
      </c>
      <c r="B18" s="530" t="s">
        <v>100</v>
      </c>
      <c r="C18" s="531">
        <v>10</v>
      </c>
      <c r="D18" s="542">
        <v>14175</v>
      </c>
      <c r="E18" s="535">
        <v>10</v>
      </c>
      <c r="F18" s="542">
        <v>14219</v>
      </c>
      <c r="G18" s="535">
        <f t="shared" si="0"/>
        <v>0</v>
      </c>
      <c r="H18" s="542">
        <f t="shared" si="1"/>
        <v>44</v>
      </c>
      <c r="I18" s="542"/>
      <c r="J18" s="542">
        <v>4000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0" t="s">
        <v>179</v>
      </c>
      <c r="B19" s="530" t="s">
        <v>100</v>
      </c>
      <c r="C19" s="531">
        <v>2</v>
      </c>
      <c r="D19" s="542">
        <v>3190</v>
      </c>
      <c r="E19" s="535">
        <v>2</v>
      </c>
      <c r="F19" s="542">
        <v>3286</v>
      </c>
      <c r="G19" s="535">
        <f t="shared" si="0"/>
        <v>0</v>
      </c>
      <c r="H19" s="542">
        <f t="shared" si="1"/>
        <v>96</v>
      </c>
      <c r="I19" s="542"/>
      <c r="J19" s="542">
        <v>1314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2"/>
        <v>0</v>
      </c>
    </row>
    <row r="20" spans="1:26" ht="14.45" customHeight="1" x14ac:dyDescent="0.25">
      <c r="A20" s="536" t="s">
        <v>327</v>
      </c>
      <c r="B20" s="530" t="s">
        <v>115</v>
      </c>
      <c r="C20" s="531">
        <v>1</v>
      </c>
      <c r="D20" s="542">
        <v>1595</v>
      </c>
      <c r="E20" s="535">
        <v>1</v>
      </c>
      <c r="F20" s="542">
        <v>1643</v>
      </c>
      <c r="G20" s="535">
        <f t="shared" si="0"/>
        <v>0</v>
      </c>
      <c r="H20" s="542">
        <f t="shared" si="1"/>
        <v>48</v>
      </c>
      <c r="I20" s="542"/>
      <c r="J20" s="542">
        <v>1643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0" t="s">
        <v>1304</v>
      </c>
      <c r="B21" s="530"/>
      <c r="C21" s="530">
        <v>5</v>
      </c>
      <c r="D21" s="542">
        <v>9950</v>
      </c>
      <c r="E21" s="535">
        <v>5</v>
      </c>
      <c r="F21" s="542">
        <v>10175</v>
      </c>
      <c r="G21" s="535">
        <f t="shared" si="0"/>
        <v>0</v>
      </c>
      <c r="H21" s="542">
        <f t="shared" si="1"/>
        <v>225</v>
      </c>
      <c r="I21" s="542"/>
      <c r="J21" s="542">
        <v>3190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1"/>
      <c r="B22" s="531"/>
      <c r="C22" s="531"/>
      <c r="D22" s="542"/>
      <c r="E22" s="535"/>
      <c r="F22" s="542"/>
      <c r="G22" s="535">
        <f t="shared" si="0"/>
        <v>0</v>
      </c>
      <c r="H22" s="542">
        <f t="shared" si="1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4"/>
      <c r="B23" s="530"/>
      <c r="C23" s="531"/>
      <c r="D23" s="542"/>
      <c r="E23" s="535"/>
      <c r="F23" s="542"/>
      <c r="G23" s="535">
        <f t="shared" si="0"/>
        <v>0</v>
      </c>
      <c r="H23" s="542">
        <f t="shared" si="1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0"/>
      <c r="B24" s="530"/>
      <c r="C24" s="530"/>
      <c r="D24" s="542"/>
      <c r="E24" s="535"/>
      <c r="F24" s="542"/>
      <c r="G24" s="535">
        <f t="shared" si="0"/>
        <v>0</v>
      </c>
      <c r="H24" s="542">
        <f t="shared" si="1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0"/>
      <c r="B25" s="535"/>
      <c r="C25" s="531"/>
      <c r="D25" s="542"/>
      <c r="E25" s="535"/>
      <c r="F25" s="542"/>
      <c r="G25" s="535">
        <f t="shared" si="0"/>
        <v>0</v>
      </c>
      <c r="H25" s="542">
        <f t="shared" si="1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0"/>
      <c r="B26" s="535"/>
      <c r="C26" s="531"/>
      <c r="D26" s="542"/>
      <c r="E26" s="535"/>
      <c r="F26" s="542"/>
      <c r="G26" s="535">
        <f t="shared" si="0"/>
        <v>0</v>
      </c>
      <c r="H26" s="542">
        <f t="shared" si="1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hidden="1" customHeight="1" x14ac:dyDescent="0.25">
      <c r="A27" s="530"/>
      <c r="B27" s="535"/>
      <c r="C27" s="531"/>
      <c r="D27" s="542"/>
      <c r="E27" s="535"/>
      <c r="F27" s="542"/>
      <c r="G27" s="535">
        <f t="shared" si="0"/>
        <v>0</v>
      </c>
      <c r="H27" s="542">
        <f t="shared" si="1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hidden="1" customHeight="1" x14ac:dyDescent="0.25">
      <c r="A28" s="531"/>
      <c r="B28" s="535"/>
      <c r="C28" s="531"/>
      <c r="D28" s="542"/>
      <c r="E28" s="535"/>
      <c r="F28" s="542"/>
      <c r="G28" s="535">
        <f t="shared" si="0"/>
        <v>0</v>
      </c>
      <c r="H28" s="542">
        <f t="shared" si="1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hidden="1" customHeight="1" x14ac:dyDescent="0.25">
      <c r="A29" s="536"/>
      <c r="B29" s="535"/>
      <c r="C29" s="531"/>
      <c r="D29" s="542"/>
      <c r="E29" s="535"/>
      <c r="F29" s="542"/>
      <c r="G29" s="535">
        <f t="shared" si="0"/>
        <v>0</v>
      </c>
      <c r="H29" s="542">
        <f t="shared" si="1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hidden="1" customHeight="1" x14ac:dyDescent="0.25">
      <c r="A30" s="531"/>
      <c r="B30" s="535"/>
      <c r="C30" s="531"/>
      <c r="D30" s="542"/>
      <c r="E30" s="535"/>
      <c r="F30" s="542"/>
      <c r="G30" s="535">
        <f t="shared" si="0"/>
        <v>0</v>
      </c>
      <c r="H30" s="542">
        <f t="shared" si="1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hidden="1" customHeight="1" x14ac:dyDescent="0.25">
      <c r="A31" s="531"/>
      <c r="B31" s="535"/>
      <c r="C31" s="531"/>
      <c r="D31" s="542"/>
      <c r="E31" s="535"/>
      <c r="F31" s="542"/>
      <c r="G31" s="535">
        <f t="shared" si="0"/>
        <v>0</v>
      </c>
      <c r="H31" s="542">
        <f t="shared" si="1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hidden="1" customHeight="1" x14ac:dyDescent="0.25">
      <c r="A32" s="531"/>
      <c r="B32" s="535"/>
      <c r="C32" s="531"/>
      <c r="D32" s="542"/>
      <c r="E32" s="535"/>
      <c r="F32" s="542"/>
      <c r="G32" s="535">
        <f t="shared" si="0"/>
        <v>0</v>
      </c>
      <c r="H32" s="542">
        <f t="shared" si="1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hidden="1" customHeight="1" x14ac:dyDescent="0.25">
      <c r="A33" s="531"/>
      <c r="B33" s="535"/>
      <c r="C33" s="531"/>
      <c r="D33" s="542"/>
      <c r="E33" s="535"/>
      <c r="F33" s="542"/>
      <c r="G33" s="535">
        <f t="shared" si="0"/>
        <v>0</v>
      </c>
      <c r="H33" s="542">
        <f t="shared" si="1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hidden="1" customHeight="1" x14ac:dyDescent="0.25">
      <c r="A34" s="531"/>
      <c r="B34" s="535"/>
      <c r="C34" s="531"/>
      <c r="D34" s="542"/>
      <c r="E34" s="535"/>
      <c r="F34" s="542"/>
      <c r="G34" s="535">
        <f t="shared" si="0"/>
        <v>0</v>
      </c>
      <c r="H34" s="542">
        <f t="shared" si="1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hidden="1" customHeight="1" x14ac:dyDescent="0.25">
      <c r="A35" s="531"/>
      <c r="B35" s="535"/>
      <c r="C35" s="531"/>
      <c r="D35" s="542"/>
      <c r="E35" s="535"/>
      <c r="F35" s="542"/>
      <c r="G35" s="535">
        <f t="shared" si="0"/>
        <v>0</v>
      </c>
      <c r="H35" s="542">
        <f t="shared" si="1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hidden="1" customHeight="1" x14ac:dyDescent="0.25">
      <c r="A36" s="531"/>
      <c r="B36" s="535"/>
      <c r="C36" s="531"/>
      <c r="D36" s="542"/>
      <c r="E36" s="535"/>
      <c r="F36" s="542"/>
      <c r="G36" s="535">
        <f t="shared" si="0"/>
        <v>0</v>
      </c>
      <c r="H36" s="542">
        <f t="shared" si="1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4.45" hidden="1" customHeight="1" x14ac:dyDescent="0.25">
      <c r="A37" s="531"/>
      <c r="B37" s="535"/>
      <c r="C37" s="531"/>
      <c r="D37" s="542"/>
      <c r="E37" s="535"/>
      <c r="F37" s="542"/>
      <c r="G37" s="535">
        <f t="shared" ref="G37:G68" si="3">E37-C37</f>
        <v>0</v>
      </c>
      <c r="H37" s="542">
        <f t="shared" ref="H37:H68" si="4">F37-D37</f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ref="Z37:Z68" si="5">SUM(K37:Y37)</f>
        <v>0</v>
      </c>
    </row>
    <row r="38" spans="1:26" ht="14.45" hidden="1" customHeight="1" x14ac:dyDescent="0.25">
      <c r="A38" s="530"/>
      <c r="B38" s="535"/>
      <c r="C38" s="531"/>
      <c r="D38" s="542"/>
      <c r="E38" s="535"/>
      <c r="F38" s="542"/>
      <c r="G38" s="535">
        <f t="shared" si="3"/>
        <v>0</v>
      </c>
      <c r="H38" s="542">
        <f t="shared" si="4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5"/>
        <v>0</v>
      </c>
    </row>
    <row r="39" spans="1:26" ht="14.45" hidden="1" customHeight="1" x14ac:dyDescent="0.25">
      <c r="A39" s="530"/>
      <c r="B39" s="535"/>
      <c r="C39" s="531"/>
      <c r="D39" s="542"/>
      <c r="E39" s="535"/>
      <c r="F39" s="542"/>
      <c r="G39" s="535">
        <f t="shared" si="3"/>
        <v>0</v>
      </c>
      <c r="H39" s="542">
        <f t="shared" si="4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5"/>
        <v>0</v>
      </c>
    </row>
    <row r="40" spans="1:26" ht="14.45" hidden="1" customHeight="1" x14ac:dyDescent="0.25">
      <c r="A40" s="530"/>
      <c r="B40" s="535"/>
      <c r="C40" s="531"/>
      <c r="D40" s="542"/>
      <c r="E40" s="535"/>
      <c r="F40" s="542"/>
      <c r="G40" s="535">
        <f t="shared" si="3"/>
        <v>0</v>
      </c>
      <c r="H40" s="542">
        <f t="shared" si="4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5"/>
        <v>0</v>
      </c>
    </row>
    <row r="41" spans="1:26" ht="14.45" hidden="1" customHeight="1" x14ac:dyDescent="0.25">
      <c r="A41" s="530"/>
      <c r="B41" s="535"/>
      <c r="C41" s="531"/>
      <c r="D41" s="542"/>
      <c r="E41" s="535"/>
      <c r="F41" s="542"/>
      <c r="G41" s="535">
        <f t="shared" si="3"/>
        <v>0</v>
      </c>
      <c r="H41" s="542">
        <f t="shared" si="4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5"/>
        <v>0</v>
      </c>
    </row>
    <row r="42" spans="1:26" ht="14.45" hidden="1" customHeight="1" x14ac:dyDescent="0.25">
      <c r="A42" s="530"/>
      <c r="B42" s="535"/>
      <c r="C42" s="531"/>
      <c r="D42" s="542"/>
      <c r="E42" s="535"/>
      <c r="F42" s="542"/>
      <c r="G42" s="535">
        <f t="shared" si="3"/>
        <v>0</v>
      </c>
      <c r="H42" s="542">
        <f t="shared" si="4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5"/>
        <v>0</v>
      </c>
    </row>
    <row r="43" spans="1:26" ht="15" hidden="1" customHeight="1" x14ac:dyDescent="0.25">
      <c r="A43" s="530"/>
      <c r="B43" s="535"/>
      <c r="C43" s="531"/>
      <c r="D43" s="542"/>
      <c r="E43" s="535"/>
      <c r="F43" s="542"/>
      <c r="G43" s="535">
        <f t="shared" si="3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5"/>
        <v>0</v>
      </c>
    </row>
    <row r="44" spans="1:26" ht="15" hidden="1" customHeight="1" x14ac:dyDescent="0.25">
      <c r="A44" s="530"/>
      <c r="B44" s="535"/>
      <c r="C44" s="531"/>
      <c r="D44" s="542"/>
      <c r="E44" s="535"/>
      <c r="F44" s="542"/>
      <c r="G44" s="535">
        <f t="shared" si="3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5"/>
        <v>0</v>
      </c>
    </row>
    <row r="45" spans="1:26" ht="15" hidden="1" customHeight="1" x14ac:dyDescent="0.25">
      <c r="A45" s="530"/>
      <c r="B45" s="535"/>
      <c r="C45" s="531"/>
      <c r="D45" s="542"/>
      <c r="E45" s="535"/>
      <c r="F45" s="542"/>
      <c r="G45" s="535">
        <f t="shared" si="3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5"/>
        <v>0</v>
      </c>
    </row>
    <row r="46" spans="1:26" ht="15" hidden="1" customHeight="1" x14ac:dyDescent="0.25">
      <c r="A46" s="530"/>
      <c r="B46" s="535"/>
      <c r="C46" s="531"/>
      <c r="D46" s="542"/>
      <c r="E46" s="535"/>
      <c r="F46" s="542"/>
      <c r="G46" s="535">
        <f t="shared" si="3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5"/>
        <v>0</v>
      </c>
    </row>
    <row r="47" spans="1:26" ht="15" hidden="1" customHeight="1" x14ac:dyDescent="0.25">
      <c r="A47" s="530"/>
      <c r="B47" s="535"/>
      <c r="C47" s="531"/>
      <c r="D47" s="542"/>
      <c r="E47" s="535"/>
      <c r="F47" s="542"/>
      <c r="G47" s="535">
        <f t="shared" si="3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5"/>
        <v>0</v>
      </c>
    </row>
    <row r="48" spans="1:26" ht="15" hidden="1" customHeight="1" x14ac:dyDescent="0.25">
      <c r="A48" s="537"/>
      <c r="B48" s="535"/>
      <c r="C48" s="531"/>
      <c r="D48" s="542"/>
      <c r="E48" s="535"/>
      <c r="F48" s="542"/>
      <c r="G48" s="535">
        <f t="shared" si="3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5"/>
        <v>0</v>
      </c>
    </row>
    <row r="49" spans="1:26" ht="15" hidden="1" customHeight="1" x14ac:dyDescent="0.25">
      <c r="A49" s="531"/>
      <c r="B49" s="535"/>
      <c r="C49" s="531"/>
      <c r="D49" s="542"/>
      <c r="E49" s="535"/>
      <c r="F49" s="542"/>
      <c r="G49" s="535">
        <f t="shared" si="3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5"/>
        <v>0</v>
      </c>
    </row>
    <row r="50" spans="1:26" ht="15" hidden="1" customHeight="1" x14ac:dyDescent="0.25">
      <c r="A50" s="530"/>
      <c r="B50" s="535"/>
      <c r="C50" s="530"/>
      <c r="D50" s="542"/>
      <c r="E50" s="535"/>
      <c r="F50" s="542"/>
      <c r="G50" s="535">
        <f t="shared" si="3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5"/>
        <v>0</v>
      </c>
    </row>
    <row r="51" spans="1:26" ht="15" hidden="1" customHeight="1" x14ac:dyDescent="0.25">
      <c r="A51" s="530"/>
      <c r="B51" s="535"/>
      <c r="C51" s="530"/>
      <c r="D51" s="542"/>
      <c r="E51" s="535"/>
      <c r="F51" s="542"/>
      <c r="G51" s="535">
        <f t="shared" si="3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5"/>
        <v>0</v>
      </c>
    </row>
    <row r="52" spans="1:26" ht="15" hidden="1" customHeight="1" x14ac:dyDescent="0.25">
      <c r="A52" s="530"/>
      <c r="B52" s="535"/>
      <c r="C52" s="530"/>
      <c r="D52" s="542"/>
      <c r="E52" s="535"/>
      <c r="F52" s="542"/>
      <c r="G52" s="535">
        <f t="shared" si="3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5"/>
        <v>0</v>
      </c>
    </row>
    <row r="53" spans="1:26" ht="15" hidden="1" customHeight="1" x14ac:dyDescent="0.25">
      <c r="A53" s="530"/>
      <c r="B53" s="535"/>
      <c r="C53" s="530"/>
      <c r="D53" s="542"/>
      <c r="E53" s="535"/>
      <c r="F53" s="542"/>
      <c r="G53" s="535">
        <f t="shared" si="3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5"/>
        <v>0</v>
      </c>
    </row>
    <row r="54" spans="1:26" ht="15" hidden="1" customHeight="1" x14ac:dyDescent="0.25">
      <c r="A54" s="530"/>
      <c r="B54" s="535"/>
      <c r="C54" s="530"/>
      <c r="D54" s="542"/>
      <c r="E54" s="535"/>
      <c r="F54" s="542"/>
      <c r="G54" s="535">
        <f t="shared" si="3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5"/>
        <v>0</v>
      </c>
    </row>
    <row r="55" spans="1:26" ht="15" hidden="1" customHeight="1" x14ac:dyDescent="0.25">
      <c r="A55" s="530"/>
      <c r="B55" s="535"/>
      <c r="C55" s="530"/>
      <c r="D55" s="542"/>
      <c r="E55" s="535"/>
      <c r="F55" s="542"/>
      <c r="G55" s="535">
        <f t="shared" si="3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5"/>
        <v>0</v>
      </c>
    </row>
    <row r="56" spans="1:26" ht="15" hidden="1" customHeight="1" x14ac:dyDescent="0.25">
      <c r="A56" s="530"/>
      <c r="B56" s="535"/>
      <c r="C56" s="530"/>
      <c r="D56" s="542"/>
      <c r="E56" s="535"/>
      <c r="F56" s="542"/>
      <c r="G56" s="535">
        <f t="shared" si="3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5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3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5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3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5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3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5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3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5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3"/>
        <v>0</v>
      </c>
      <c r="H61" s="542">
        <f t="shared" si="4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5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3"/>
        <v>0</v>
      </c>
      <c r="H62" s="542">
        <f t="shared" si="4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5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3"/>
        <v>0</v>
      </c>
      <c r="H63" s="542">
        <f t="shared" si="4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5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3"/>
        <v>0</v>
      </c>
      <c r="H64" s="542">
        <f t="shared" si="4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5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si="3"/>
        <v>0</v>
      </c>
      <c r="H65" s="542">
        <f t="shared" si="4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5"/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3"/>
        <v>0</v>
      </c>
      <c r="H66" s="542">
        <f t="shared" si="4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5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3"/>
        <v>0</v>
      </c>
      <c r="H67" s="542">
        <f t="shared" si="4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5"/>
        <v>0</v>
      </c>
    </row>
    <row r="68" spans="1:26" ht="15" hidden="1" customHeight="1" x14ac:dyDescent="0.25">
      <c r="A68" s="530"/>
      <c r="B68" s="535"/>
      <c r="C68" s="531"/>
      <c r="D68" s="542"/>
      <c r="E68" s="535"/>
      <c r="F68" s="542"/>
      <c r="G68" s="535">
        <f t="shared" si="3"/>
        <v>0</v>
      </c>
      <c r="H68" s="542">
        <f t="shared" si="4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5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ref="G69:G83" si="6">E69-C69</f>
        <v>0</v>
      </c>
      <c r="H69" s="542">
        <f t="shared" ref="H69:H83" si="7">F69-D69</f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8">SUM(K69:Y69)</f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6"/>
        <v>0</v>
      </c>
      <c r="H70" s="542">
        <f t="shared" si="7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8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6"/>
        <v>0</v>
      </c>
      <c r="H71" s="542">
        <f t="shared" si="7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8"/>
        <v>0</v>
      </c>
    </row>
    <row r="72" spans="1:26" ht="15" hidden="1" customHeight="1" x14ac:dyDescent="0.25">
      <c r="A72" s="534"/>
      <c r="B72" s="535"/>
      <c r="C72" s="531"/>
      <c r="D72" s="542"/>
      <c r="E72" s="535"/>
      <c r="F72" s="542"/>
      <c r="G72" s="535">
        <f t="shared" si="6"/>
        <v>0</v>
      </c>
      <c r="H72" s="542">
        <f t="shared" si="7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8"/>
        <v>0</v>
      </c>
    </row>
    <row r="73" spans="1:26" ht="15" hidden="1" customHeight="1" x14ac:dyDescent="0.25">
      <c r="A73" s="530"/>
      <c r="B73" s="535"/>
      <c r="C73" s="531"/>
      <c r="D73" s="542"/>
      <c r="E73" s="535"/>
      <c r="F73" s="542"/>
      <c r="G73" s="535">
        <f t="shared" si="6"/>
        <v>0</v>
      </c>
      <c r="H73" s="542">
        <f t="shared" si="7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8"/>
        <v>0</v>
      </c>
    </row>
    <row r="74" spans="1:26" ht="15" hidden="1" customHeight="1" x14ac:dyDescent="0.25">
      <c r="A74" s="534"/>
      <c r="B74" s="535"/>
      <c r="C74" s="531"/>
      <c r="D74" s="542"/>
      <c r="E74" s="535"/>
      <c r="F74" s="542"/>
      <c r="G74" s="535">
        <f t="shared" si="6"/>
        <v>0</v>
      </c>
      <c r="H74" s="542">
        <f t="shared" si="7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8"/>
        <v>0</v>
      </c>
    </row>
    <row r="75" spans="1:26" ht="15" hidden="1" customHeight="1" x14ac:dyDescent="0.25">
      <c r="A75" s="530"/>
      <c r="B75" s="535"/>
      <c r="C75" s="531"/>
      <c r="D75" s="542"/>
      <c r="E75" s="535"/>
      <c r="F75" s="542"/>
      <c r="G75" s="535">
        <f t="shared" si="6"/>
        <v>0</v>
      </c>
      <c r="H75" s="542">
        <f t="shared" si="7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8"/>
        <v>0</v>
      </c>
    </row>
    <row r="76" spans="1:26" ht="15" hidden="1" customHeight="1" x14ac:dyDescent="0.25">
      <c r="A76" s="533"/>
      <c r="B76" s="535"/>
      <c r="C76" s="531"/>
      <c r="D76" s="542"/>
      <c r="E76" s="535"/>
      <c r="F76" s="542"/>
      <c r="G76" s="535">
        <f t="shared" si="6"/>
        <v>0</v>
      </c>
      <c r="H76" s="542">
        <f t="shared" si="7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8"/>
        <v>0</v>
      </c>
    </row>
    <row r="77" spans="1:26" ht="15" hidden="1" customHeight="1" x14ac:dyDescent="0.25">
      <c r="A77" s="530"/>
      <c r="B77" s="535"/>
      <c r="C77" s="531"/>
      <c r="D77" s="542"/>
      <c r="E77" s="535"/>
      <c r="F77" s="542"/>
      <c r="G77" s="535">
        <f t="shared" si="6"/>
        <v>0</v>
      </c>
      <c r="H77" s="542">
        <f t="shared" si="7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8"/>
        <v>0</v>
      </c>
    </row>
    <row r="78" spans="1:26" ht="15" hidden="1" customHeight="1" x14ac:dyDescent="0.25">
      <c r="A78" s="530"/>
      <c r="B78" s="535"/>
      <c r="C78" s="531"/>
      <c r="D78" s="542"/>
      <c r="E78" s="535"/>
      <c r="F78" s="542"/>
      <c r="G78" s="535">
        <f t="shared" si="6"/>
        <v>0</v>
      </c>
      <c r="H78" s="542">
        <f t="shared" si="7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8"/>
        <v>0</v>
      </c>
    </row>
    <row r="79" spans="1:26" ht="15" hidden="1" customHeight="1" x14ac:dyDescent="0.25">
      <c r="A79" s="530"/>
      <c r="B79" s="535"/>
      <c r="C79" s="531"/>
      <c r="D79" s="542"/>
      <c r="E79" s="535"/>
      <c r="F79" s="542"/>
      <c r="G79" s="535">
        <f t="shared" si="6"/>
        <v>0</v>
      </c>
      <c r="H79" s="542">
        <f t="shared" si="7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8"/>
        <v>0</v>
      </c>
    </row>
    <row r="80" spans="1:26" ht="15" hidden="1" customHeight="1" x14ac:dyDescent="0.25">
      <c r="A80" s="538"/>
      <c r="B80" s="535"/>
      <c r="C80" s="535"/>
      <c r="D80" s="542"/>
      <c r="E80" s="535"/>
      <c r="F80" s="542"/>
      <c r="G80" s="535">
        <f t="shared" si="6"/>
        <v>0</v>
      </c>
      <c r="H80" s="542">
        <f t="shared" si="7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8"/>
        <v>0</v>
      </c>
    </row>
    <row r="81" spans="1:26" ht="15" hidden="1" customHeight="1" x14ac:dyDescent="0.25">
      <c r="A81" s="535"/>
      <c r="B81" s="535"/>
      <c r="C81" s="535"/>
      <c r="D81" s="542"/>
      <c r="E81" s="535"/>
      <c r="F81" s="542"/>
      <c r="G81" s="535">
        <f t="shared" si="6"/>
        <v>0</v>
      </c>
      <c r="H81" s="542">
        <f t="shared" si="7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8"/>
        <v>0</v>
      </c>
    </row>
    <row r="82" spans="1:26" ht="15" customHeight="1" x14ac:dyDescent="0.25">
      <c r="A82" s="535"/>
      <c r="B82" s="535"/>
      <c r="C82" s="535"/>
      <c r="D82" s="542"/>
      <c r="E82" s="535"/>
      <c r="F82" s="542"/>
      <c r="G82" s="535">
        <f t="shared" si="6"/>
        <v>0</v>
      </c>
      <c r="H82" s="542">
        <f t="shared" si="7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8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6"/>
        <v>0</v>
      </c>
      <c r="H83" s="542">
        <f t="shared" si="7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8"/>
        <v>0</v>
      </c>
    </row>
    <row r="84" spans="1:26" ht="15" customHeight="1" x14ac:dyDescent="0.25">
      <c r="A84" s="443" t="s">
        <v>1221</v>
      </c>
      <c r="B84" s="444"/>
      <c r="C84" s="447">
        <f t="shared" ref="C84:Z84" si="9">SUM(C5:C83)</f>
        <v>88</v>
      </c>
      <c r="D84" s="448">
        <f t="shared" si="9"/>
        <v>121949.5</v>
      </c>
      <c r="E84" s="447">
        <f t="shared" si="9"/>
        <v>88</v>
      </c>
      <c r="F84" s="466">
        <f t="shared" si="9"/>
        <v>126588</v>
      </c>
      <c r="G84" s="447">
        <f t="shared" si="9"/>
        <v>0</v>
      </c>
      <c r="H84" s="466">
        <f t="shared" si="9"/>
        <v>4638.5</v>
      </c>
      <c r="I84" s="448">
        <f t="shared" si="9"/>
        <v>0</v>
      </c>
      <c r="J84" s="448">
        <f t="shared" si="9"/>
        <v>43209</v>
      </c>
      <c r="K84" s="447">
        <f t="shared" si="9"/>
        <v>0</v>
      </c>
      <c r="L84" s="447">
        <f t="shared" si="9"/>
        <v>0</v>
      </c>
      <c r="M84" s="447">
        <f t="shared" si="9"/>
        <v>0</v>
      </c>
      <c r="N84" s="447">
        <f t="shared" si="9"/>
        <v>0</v>
      </c>
      <c r="O84" s="447">
        <f t="shared" si="9"/>
        <v>0</v>
      </c>
      <c r="P84" s="447">
        <f t="shared" si="9"/>
        <v>0</v>
      </c>
      <c r="Q84" s="447">
        <f t="shared" si="9"/>
        <v>0</v>
      </c>
      <c r="R84" s="447">
        <f t="shared" si="9"/>
        <v>0</v>
      </c>
      <c r="S84" s="447">
        <f t="shared" si="9"/>
        <v>0</v>
      </c>
      <c r="T84" s="447">
        <f t="shared" si="9"/>
        <v>0</v>
      </c>
      <c r="U84" s="447">
        <f t="shared" si="9"/>
        <v>0</v>
      </c>
      <c r="V84" s="447">
        <f t="shared" si="9"/>
        <v>0</v>
      </c>
      <c r="W84" s="447">
        <f t="shared" si="9"/>
        <v>0</v>
      </c>
      <c r="X84" s="447">
        <f t="shared" si="9"/>
        <v>0</v>
      </c>
      <c r="Y84" s="447">
        <f t="shared" si="9"/>
        <v>0</v>
      </c>
      <c r="Z84" s="447">
        <f t="shared" si="9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4" t="s">
        <v>1</v>
      </c>
      <c r="B87" s="544"/>
      <c r="C87" s="425" t="s">
        <v>1222</v>
      </c>
      <c r="D87" s="425" t="s">
        <v>1223</v>
      </c>
      <c r="E87" s="425" t="s">
        <v>392</v>
      </c>
      <c r="F87" s="426" t="s">
        <v>2</v>
      </c>
      <c r="G87" s="432" t="s">
        <v>1225</v>
      </c>
      <c r="H87" s="427" t="s">
        <v>1224</v>
      </c>
      <c r="I87" s="427" t="s">
        <v>1498</v>
      </c>
      <c r="J87" s="427" t="s">
        <v>94</v>
      </c>
      <c r="K87" s="424" t="s">
        <v>681</v>
      </c>
      <c r="L87" s="424" t="s">
        <v>1496</v>
      </c>
      <c r="M87" s="424" t="s">
        <v>1497</v>
      </c>
      <c r="N87" s="424" t="s">
        <v>682</v>
      </c>
      <c r="O87" s="424" t="s">
        <v>683</v>
      </c>
      <c r="P87" s="424" t="s">
        <v>87</v>
      </c>
      <c r="Q87" s="424" t="s">
        <v>684</v>
      </c>
      <c r="R87" s="424" t="s">
        <v>685</v>
      </c>
      <c r="S87" s="424" t="s">
        <v>690</v>
      </c>
      <c r="T87" s="424" t="s">
        <v>686</v>
      </c>
      <c r="U87" s="424" t="s">
        <v>687</v>
      </c>
      <c r="V87" s="424" t="s">
        <v>688</v>
      </c>
      <c r="W87" s="424" t="s">
        <v>689</v>
      </c>
      <c r="X87" s="424" t="s">
        <v>138</v>
      </c>
      <c r="Y87" s="424" t="s">
        <v>1385</v>
      </c>
      <c r="Z87" s="424" t="s">
        <v>1238</v>
      </c>
    </row>
    <row r="89" spans="1:26" ht="15" customHeight="1" x14ac:dyDescent="0.25">
      <c r="A89" s="538"/>
      <c r="B89" s="535"/>
      <c r="C89" s="487"/>
      <c r="D89" s="488"/>
      <c r="E89" s="486"/>
      <c r="F89" s="488"/>
      <c r="G89" s="486"/>
      <c r="H89" s="539"/>
      <c r="I89" s="539"/>
      <c r="J89" s="539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>
        <f t="shared" ref="Z89:Z95" si="10">SUM(K89:Y89)</f>
        <v>0</v>
      </c>
    </row>
    <row r="90" spans="1:26" ht="15" customHeight="1" x14ac:dyDescent="0.25">
      <c r="A90" s="538"/>
      <c r="B90" s="535"/>
      <c r="C90" s="487"/>
      <c r="D90" s="488"/>
      <c r="E90" s="486"/>
      <c r="F90" s="488"/>
      <c r="G90" s="486"/>
      <c r="H90" s="539"/>
      <c r="I90" s="539"/>
      <c r="J90" s="539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>
        <f t="shared" si="10"/>
        <v>0</v>
      </c>
    </row>
    <row r="91" spans="1:26" ht="29.45" customHeight="1" x14ac:dyDescent="0.25">
      <c r="A91" s="538"/>
      <c r="B91" s="535"/>
      <c r="C91" s="487"/>
      <c r="D91" s="488"/>
      <c r="E91" s="486"/>
      <c r="F91" s="488"/>
      <c r="G91" s="486"/>
      <c r="H91" s="539"/>
      <c r="I91" s="539"/>
      <c r="J91" s="539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>
        <f t="shared" si="10"/>
        <v>0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>
        <f t="shared" si="10"/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539"/>
      <c r="J93" s="539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>
        <f t="shared" si="10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>
        <f t="shared" si="10"/>
        <v>0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>
        <f t="shared" si="10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SUM(G94:G95)</f>
        <v>0</v>
      </c>
      <c r="H96" s="448">
        <f>SUM(H94:H95)</f>
        <v>0</v>
      </c>
      <c r="I96" s="448">
        <f t="shared" ref="I96:J96" si="11">SUM(I94:I95)</f>
        <v>0</v>
      </c>
      <c r="J96" s="448">
        <f t="shared" si="11"/>
        <v>0</v>
      </c>
      <c r="K96" s="447">
        <f t="shared" ref="K96:Z96" si="12">SUM(K89:K95)</f>
        <v>0</v>
      </c>
      <c r="L96" s="447">
        <f t="shared" si="12"/>
        <v>0</v>
      </c>
      <c r="M96" s="447">
        <f t="shared" si="12"/>
        <v>0</v>
      </c>
      <c r="N96" s="447">
        <f t="shared" si="12"/>
        <v>0</v>
      </c>
      <c r="O96" s="447">
        <f t="shared" si="12"/>
        <v>0</v>
      </c>
      <c r="P96" s="447">
        <f t="shared" si="12"/>
        <v>0</v>
      </c>
      <c r="Q96" s="447">
        <f t="shared" si="12"/>
        <v>0</v>
      </c>
      <c r="R96" s="447">
        <f t="shared" si="12"/>
        <v>0</v>
      </c>
      <c r="S96" s="447">
        <f t="shared" si="12"/>
        <v>0</v>
      </c>
      <c r="T96" s="447">
        <f t="shared" si="12"/>
        <v>0</v>
      </c>
      <c r="U96" s="447">
        <f t="shared" si="12"/>
        <v>0</v>
      </c>
      <c r="V96" s="447">
        <f t="shared" si="12"/>
        <v>0</v>
      </c>
      <c r="W96" s="447">
        <f t="shared" si="12"/>
        <v>0</v>
      </c>
      <c r="X96" s="447">
        <f t="shared" si="12"/>
        <v>0</v>
      </c>
      <c r="Y96" s="447">
        <f t="shared" si="12"/>
        <v>0</v>
      </c>
      <c r="Z96" s="447">
        <f t="shared" si="12"/>
        <v>0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44" t="s">
        <v>1</v>
      </c>
      <c r="B99" s="544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38" t="s">
        <v>1542</v>
      </c>
      <c r="B100" s="535" t="s">
        <v>100</v>
      </c>
      <c r="C100" s="487">
        <v>42103</v>
      </c>
      <c r="D100" s="488">
        <v>42471</v>
      </c>
      <c r="E100" s="486">
        <v>367</v>
      </c>
      <c r="F100" s="488">
        <v>42440</v>
      </c>
      <c r="G100" s="486">
        <v>2</v>
      </c>
      <c r="H100" s="539">
        <v>4970</v>
      </c>
      <c r="I100" s="456"/>
      <c r="J100" s="456">
        <v>1988</v>
      </c>
      <c r="K100" s="535"/>
      <c r="L100" s="535">
        <v>1</v>
      </c>
      <c r="M100" s="535">
        <v>1</v>
      </c>
      <c r="N100" s="535"/>
      <c r="O100" s="535"/>
      <c r="P100" s="535"/>
      <c r="Q100" s="535">
        <v>1</v>
      </c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3</v>
      </c>
    </row>
    <row r="101" spans="1:26" s="457" customFormat="1" ht="15" customHeight="1" x14ac:dyDescent="0.25">
      <c r="A101" s="538" t="s">
        <v>1543</v>
      </c>
      <c r="B101" s="452" t="s">
        <v>100</v>
      </c>
      <c r="C101" s="453">
        <v>42418</v>
      </c>
      <c r="D101" s="454">
        <v>42467</v>
      </c>
      <c r="E101" s="455">
        <v>49</v>
      </c>
      <c r="F101" s="454">
        <v>42339</v>
      </c>
      <c r="G101" s="455">
        <v>1</v>
      </c>
      <c r="H101" s="539">
        <v>701</v>
      </c>
      <c r="I101" s="456"/>
      <c r="J101" s="456">
        <v>280</v>
      </c>
      <c r="K101" s="452"/>
      <c r="L101" s="452"/>
      <c r="M101" s="452"/>
      <c r="N101" s="452"/>
      <c r="O101" s="452"/>
      <c r="P101" s="452"/>
      <c r="Q101" s="452"/>
      <c r="R101" s="452">
        <v>1</v>
      </c>
      <c r="S101" s="452"/>
      <c r="T101" s="452"/>
      <c r="U101" s="452"/>
      <c r="V101" s="452"/>
      <c r="W101" s="452"/>
      <c r="X101" s="452"/>
      <c r="Y101" s="452"/>
      <c r="Z101" s="535">
        <f>SUM(K101:Y101)</f>
        <v>1</v>
      </c>
    </row>
    <row r="102" spans="1:26" s="457" customFormat="1" ht="15" customHeight="1" x14ac:dyDescent="0.25">
      <c r="A102" s="538" t="s">
        <v>1544</v>
      </c>
      <c r="B102" s="452" t="s">
        <v>100</v>
      </c>
      <c r="C102" s="453">
        <v>42439</v>
      </c>
      <c r="D102" s="454">
        <v>42478</v>
      </c>
      <c r="E102" s="455">
        <v>38</v>
      </c>
      <c r="F102" s="454">
        <v>42439</v>
      </c>
      <c r="G102" s="455">
        <v>5</v>
      </c>
      <c r="H102" s="456">
        <v>4324</v>
      </c>
      <c r="I102" s="456"/>
      <c r="J102" s="456">
        <v>1730</v>
      </c>
      <c r="K102" s="452">
        <v>1</v>
      </c>
      <c r="L102" s="452">
        <v>1</v>
      </c>
      <c r="M102" s="452">
        <v>1</v>
      </c>
      <c r="N102" s="452">
        <v>1</v>
      </c>
      <c r="O102" s="452">
        <v>1</v>
      </c>
      <c r="P102" s="452">
        <v>1</v>
      </c>
      <c r="Q102" s="452"/>
      <c r="R102" s="452"/>
      <c r="S102" s="452"/>
      <c r="T102" s="452"/>
      <c r="U102" s="452"/>
      <c r="V102" s="452"/>
      <c r="W102" s="452"/>
      <c r="X102" s="452"/>
      <c r="Y102" s="452"/>
      <c r="Z102" s="535">
        <f>SUM(K102:Y102)</f>
        <v>6</v>
      </c>
    </row>
    <row r="103" spans="1:26" s="457" customFormat="1" ht="15" customHeight="1" x14ac:dyDescent="0.25">
      <c r="A103" s="538" t="s">
        <v>1546</v>
      </c>
      <c r="B103" s="452" t="s">
        <v>115</v>
      </c>
      <c r="C103" s="453"/>
      <c r="D103" s="454"/>
      <c r="E103" s="455"/>
      <c r="F103" s="454">
        <v>42248</v>
      </c>
      <c r="G103" s="455">
        <v>2</v>
      </c>
      <c r="H103" s="456">
        <v>3100</v>
      </c>
      <c r="I103" s="456">
        <v>5000</v>
      </c>
      <c r="J103" s="456">
        <v>0</v>
      </c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>
        <v>1</v>
      </c>
      <c r="X103" s="452">
        <v>1</v>
      </c>
      <c r="Y103" s="452"/>
      <c r="Z103" s="535">
        <f t="shared" ref="Z103:Z107" si="13">SUM(K103:Y103)</f>
        <v>2</v>
      </c>
    </row>
    <row r="104" spans="1:26" s="457" customFormat="1" ht="15" customHeight="1" x14ac:dyDescent="0.25">
      <c r="A104" s="538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>
        <f t="shared" si="13"/>
        <v>0</v>
      </c>
    </row>
    <row r="105" spans="1:26" s="457" customFormat="1" ht="15" customHeight="1" x14ac:dyDescent="0.25">
      <c r="A105" s="538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13"/>
        <v>0</v>
      </c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13"/>
        <v>0</v>
      </c>
    </row>
    <row r="107" spans="1:26" s="457" customFormat="1" ht="15" customHeight="1" x14ac:dyDescent="0.25">
      <c r="A107" s="54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>
        <f t="shared" si="13"/>
        <v>0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14">SUM(G100:G107)</f>
        <v>10</v>
      </c>
      <c r="H108" s="448">
        <f>SUM(H100:H107)</f>
        <v>13095</v>
      </c>
      <c r="I108" s="448">
        <f>SUM(I100:I107)</f>
        <v>5000</v>
      </c>
      <c r="J108" s="448">
        <f>SUM(J100:J107)</f>
        <v>3998</v>
      </c>
      <c r="K108" s="447">
        <f t="shared" si="14"/>
        <v>1</v>
      </c>
      <c r="L108" s="447">
        <f t="shared" si="14"/>
        <v>2</v>
      </c>
      <c r="M108" s="447">
        <f t="shared" si="14"/>
        <v>2</v>
      </c>
      <c r="N108" s="447">
        <f t="shared" si="14"/>
        <v>1</v>
      </c>
      <c r="O108" s="447">
        <f t="shared" si="14"/>
        <v>1</v>
      </c>
      <c r="P108" s="447">
        <f t="shared" si="14"/>
        <v>1</v>
      </c>
      <c r="Q108" s="447">
        <f t="shared" si="14"/>
        <v>1</v>
      </c>
      <c r="R108" s="447">
        <f t="shared" si="14"/>
        <v>1</v>
      </c>
      <c r="S108" s="447">
        <f t="shared" si="14"/>
        <v>0</v>
      </c>
      <c r="T108" s="447">
        <f t="shared" si="14"/>
        <v>0</v>
      </c>
      <c r="U108" s="447">
        <f t="shared" si="14"/>
        <v>0</v>
      </c>
      <c r="V108" s="447">
        <f t="shared" si="14"/>
        <v>0</v>
      </c>
      <c r="W108" s="447">
        <f t="shared" si="14"/>
        <v>1</v>
      </c>
      <c r="X108" s="447">
        <f t="shared" si="14"/>
        <v>1</v>
      </c>
      <c r="Y108" s="447">
        <f t="shared" si="14"/>
        <v>0</v>
      </c>
      <c r="Z108" s="447">
        <f t="shared" si="14"/>
        <v>12</v>
      </c>
    </row>
    <row r="110" spans="1:26" x14ac:dyDescent="0.25">
      <c r="A110" s="739" t="s">
        <v>1229</v>
      </c>
      <c r="B110" s="739"/>
    </row>
    <row r="111" spans="1:26" ht="30" x14ac:dyDescent="0.25">
      <c r="A111" s="544" t="s">
        <v>1</v>
      </c>
      <c r="B111" s="544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38" t="s">
        <v>1547</v>
      </c>
      <c r="B112" s="452" t="s">
        <v>100</v>
      </c>
      <c r="C112" s="453">
        <v>42404</v>
      </c>
      <c r="D112" s="454">
        <v>42489</v>
      </c>
      <c r="E112" s="455">
        <v>85</v>
      </c>
      <c r="F112" s="454">
        <v>42370</v>
      </c>
      <c r="G112" s="455">
        <v>-3</v>
      </c>
      <c r="H112" s="456">
        <v>-4785</v>
      </c>
      <c r="I112" s="456"/>
      <c r="J112" s="456">
        <v>-1914</v>
      </c>
      <c r="K112" s="452"/>
      <c r="L112" s="452"/>
      <c r="M112" s="452"/>
      <c r="N112" s="452"/>
      <c r="O112" s="452"/>
      <c r="P112" s="452">
        <v>-1</v>
      </c>
      <c r="Q112" s="452">
        <v>-1</v>
      </c>
      <c r="R112" s="452">
        <v>-1</v>
      </c>
      <c r="S112" s="452"/>
      <c r="T112" s="452"/>
      <c r="U112" s="452"/>
      <c r="V112" s="452"/>
      <c r="W112" s="452"/>
      <c r="X112" s="452"/>
      <c r="Y112" s="452"/>
      <c r="Z112" s="535">
        <f>SUM(K112:Y112)</f>
        <v>-3</v>
      </c>
    </row>
    <row r="113" spans="1:26" x14ac:dyDescent="0.25">
      <c r="A113" s="538" t="s">
        <v>1548</v>
      </c>
      <c r="B113" s="535" t="s">
        <v>100</v>
      </c>
      <c r="C113" s="487">
        <v>42404</v>
      </c>
      <c r="D113" s="488">
        <v>42489</v>
      </c>
      <c r="E113" s="486">
        <v>85</v>
      </c>
      <c r="F113" s="488">
        <v>42489</v>
      </c>
      <c r="G113" s="486">
        <v>-3</v>
      </c>
      <c r="H113" s="539">
        <v>-4386</v>
      </c>
      <c r="I113" s="539"/>
      <c r="J113" s="539">
        <f>H113*0.4</f>
        <v>-1754.4</v>
      </c>
      <c r="K113" s="535">
        <v>-1</v>
      </c>
      <c r="L113" s="535"/>
      <c r="M113" s="535"/>
      <c r="N113" s="535"/>
      <c r="O113" s="535"/>
      <c r="P113" s="535">
        <v>-1</v>
      </c>
      <c r="Q113" s="535">
        <v>-1</v>
      </c>
      <c r="R113" s="535"/>
      <c r="S113" s="535"/>
      <c r="T113" s="535"/>
      <c r="U113" s="535"/>
      <c r="V113" s="535"/>
      <c r="W113" s="535"/>
      <c r="X113" s="535"/>
      <c r="Y113" s="535"/>
      <c r="Z113" s="535">
        <f>SUM(K113:Y113)</f>
        <v>-3</v>
      </c>
    </row>
    <row r="115" spans="1:26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-6</v>
      </c>
      <c r="H115" s="448">
        <f t="shared" ref="H115:I115" si="15">SUM(H112:H114)</f>
        <v>-9171</v>
      </c>
      <c r="I115" s="448">
        <f t="shared" si="15"/>
        <v>0</v>
      </c>
      <c r="J115" s="448">
        <f>SUM(J112:J114)</f>
        <v>-3668.4</v>
      </c>
      <c r="K115" s="447">
        <f>SUM(K112:K114)</f>
        <v>-1</v>
      </c>
      <c r="L115" s="447">
        <f t="shared" ref="L115:Z115" si="16">SUM(L112:L114)</f>
        <v>0</v>
      </c>
      <c r="M115" s="447">
        <f t="shared" si="16"/>
        <v>0</v>
      </c>
      <c r="N115" s="447">
        <f t="shared" si="16"/>
        <v>0</v>
      </c>
      <c r="O115" s="447">
        <f t="shared" si="16"/>
        <v>0</v>
      </c>
      <c r="P115" s="447">
        <f t="shared" si="16"/>
        <v>-2</v>
      </c>
      <c r="Q115" s="447">
        <f t="shared" si="16"/>
        <v>-2</v>
      </c>
      <c r="R115" s="447">
        <f t="shared" si="16"/>
        <v>-1</v>
      </c>
      <c r="S115" s="447">
        <f t="shared" si="16"/>
        <v>0</v>
      </c>
      <c r="T115" s="447">
        <f t="shared" si="16"/>
        <v>0</v>
      </c>
      <c r="U115" s="447">
        <f t="shared" si="16"/>
        <v>0</v>
      </c>
      <c r="V115" s="447">
        <f t="shared" si="16"/>
        <v>0</v>
      </c>
      <c r="W115" s="447">
        <f t="shared" si="16"/>
        <v>0</v>
      </c>
      <c r="X115" s="447">
        <f t="shared" si="16"/>
        <v>0</v>
      </c>
      <c r="Y115" s="447">
        <f t="shared" si="16"/>
        <v>0</v>
      </c>
      <c r="Z115" s="447">
        <f t="shared" si="16"/>
        <v>-6</v>
      </c>
    </row>
    <row r="117" spans="1:26" x14ac:dyDescent="0.25">
      <c r="A117" s="739" t="s">
        <v>1231</v>
      </c>
      <c r="B117" s="739"/>
    </row>
    <row r="118" spans="1:26" ht="30" x14ac:dyDescent="0.25">
      <c r="A118" s="544" t="s">
        <v>1</v>
      </c>
      <c r="B118" s="544" t="s">
        <v>59</v>
      </c>
      <c r="C118" s="425"/>
      <c r="D118" s="425"/>
      <c r="E118" s="425"/>
      <c r="F118" s="426"/>
      <c r="G118" s="432" t="s">
        <v>1225</v>
      </c>
      <c r="H118" s="427" t="s">
        <v>1224</v>
      </c>
      <c r="I118" s="427" t="s">
        <v>1498</v>
      </c>
      <c r="J118" s="427" t="s">
        <v>94</v>
      </c>
      <c r="K118" s="424" t="s">
        <v>681</v>
      </c>
      <c r="L118" s="424" t="s">
        <v>1496</v>
      </c>
      <c r="M118" s="424" t="s">
        <v>1497</v>
      </c>
      <c r="N118" s="424" t="s">
        <v>682</v>
      </c>
      <c r="O118" s="424" t="s">
        <v>683</v>
      </c>
      <c r="P118" s="424" t="s">
        <v>87</v>
      </c>
      <c r="Q118" s="424" t="s">
        <v>684</v>
      </c>
      <c r="R118" s="424" t="s">
        <v>685</v>
      </c>
      <c r="S118" s="424" t="s">
        <v>690</v>
      </c>
      <c r="T118" s="424" t="s">
        <v>686</v>
      </c>
      <c r="U118" s="424" t="s">
        <v>687</v>
      </c>
      <c r="V118" s="424" t="s">
        <v>688</v>
      </c>
      <c r="W118" s="424" t="s">
        <v>689</v>
      </c>
      <c r="X118" s="424" t="s">
        <v>138</v>
      </c>
      <c r="Y118" s="424" t="s">
        <v>1385</v>
      </c>
      <c r="Z118" s="424" t="s">
        <v>1238</v>
      </c>
    </row>
    <row r="119" spans="1:26" ht="15" customHeight="1" x14ac:dyDescent="0.25">
      <c r="A119" s="538" t="s">
        <v>1540</v>
      </c>
      <c r="B119" s="535" t="s">
        <v>100</v>
      </c>
      <c r="C119" s="487"/>
      <c r="D119" s="488"/>
      <c r="E119" s="486"/>
      <c r="F119" s="488"/>
      <c r="G119" s="486">
        <v>-3</v>
      </c>
      <c r="H119" s="539">
        <v>-4785</v>
      </c>
      <c r="I119" s="539">
        <v>0</v>
      </c>
      <c r="J119" s="539">
        <f>H119*0.4</f>
        <v>-1914</v>
      </c>
      <c r="K119" s="535">
        <v>-1</v>
      </c>
      <c r="L119" s="535"/>
      <c r="M119" s="535"/>
      <c r="N119" s="535"/>
      <c r="O119" s="535"/>
      <c r="P119" s="535">
        <v>-1</v>
      </c>
      <c r="Q119" s="535">
        <v>-1</v>
      </c>
      <c r="R119" s="535"/>
      <c r="S119" s="535"/>
      <c r="T119" s="535"/>
      <c r="U119" s="535"/>
      <c r="V119" s="535"/>
      <c r="W119" s="535"/>
      <c r="X119" s="535"/>
      <c r="Y119" s="535"/>
      <c r="Z119" s="535">
        <f t="shared" ref="Z119:Z121" si="17">SUM(K119:Y119)</f>
        <v>-3</v>
      </c>
    </row>
    <row r="120" spans="1:26" ht="15" customHeight="1" x14ac:dyDescent="0.25">
      <c r="A120" s="538" t="s">
        <v>1541</v>
      </c>
      <c r="B120" s="535" t="s">
        <v>1539</v>
      </c>
      <c r="C120" s="487"/>
      <c r="D120" s="488"/>
      <c r="E120" s="486"/>
      <c r="F120" s="488"/>
      <c r="G120" s="486">
        <v>-3</v>
      </c>
      <c r="H120" s="539">
        <v>-3135</v>
      </c>
      <c r="I120" s="539">
        <v>0</v>
      </c>
      <c r="J120" s="539">
        <f>H120*0.4</f>
        <v>-1254</v>
      </c>
      <c r="K120" s="535">
        <v>-1</v>
      </c>
      <c r="L120" s="535"/>
      <c r="M120" s="535"/>
      <c r="N120" s="535">
        <v>-1</v>
      </c>
      <c r="O120" s="535"/>
      <c r="P120" s="535">
        <v>-1</v>
      </c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7"/>
        <v>-3</v>
      </c>
    </row>
    <row r="121" spans="1:26" ht="15" customHeight="1" x14ac:dyDescent="0.25">
      <c r="A121" s="538" t="s">
        <v>1545</v>
      </c>
      <c r="B121" s="535" t="s">
        <v>100</v>
      </c>
      <c r="C121" s="487"/>
      <c r="D121" s="488"/>
      <c r="E121" s="486"/>
      <c r="F121" s="488"/>
      <c r="G121" s="486">
        <v>0</v>
      </c>
      <c r="H121" s="539">
        <v>0</v>
      </c>
      <c r="I121" s="539">
        <v>0</v>
      </c>
      <c r="J121" s="539">
        <v>0</v>
      </c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7"/>
        <v>0</v>
      </c>
    </row>
    <row r="122" spans="1:26" ht="15" customHeight="1" x14ac:dyDescent="0.25">
      <c r="A122" s="538" t="s">
        <v>1549</v>
      </c>
      <c r="B122" s="535" t="s">
        <v>100</v>
      </c>
      <c r="C122" s="487">
        <v>42485</v>
      </c>
      <c r="D122" s="488">
        <v>42489</v>
      </c>
      <c r="E122" s="486">
        <v>4</v>
      </c>
      <c r="F122" s="488">
        <v>42489</v>
      </c>
      <c r="G122" s="486">
        <v>-1</v>
      </c>
      <c r="H122" s="539">
        <v>-1515</v>
      </c>
      <c r="I122" s="539">
        <v>0</v>
      </c>
      <c r="J122" s="539">
        <v>-606</v>
      </c>
      <c r="K122" s="535"/>
      <c r="L122" s="535"/>
      <c r="M122" s="535"/>
      <c r="N122" s="535"/>
      <c r="O122" s="535"/>
      <c r="P122" s="535"/>
      <c r="Q122" s="535">
        <v>-1</v>
      </c>
      <c r="R122" s="535"/>
      <c r="S122" s="535"/>
      <c r="T122" s="535"/>
      <c r="U122" s="535"/>
      <c r="V122" s="535"/>
      <c r="W122" s="535"/>
      <c r="X122" s="535"/>
      <c r="Y122" s="535"/>
      <c r="Z122" s="535">
        <f>SUM(K122:Y122)</f>
        <v>-1</v>
      </c>
    </row>
    <row r="123" spans="1:26" ht="15" customHeight="1" x14ac:dyDescent="0.25">
      <c r="A123" s="538"/>
      <c r="B123" s="535"/>
      <c r="C123" s="487"/>
      <c r="D123" s="488"/>
      <c r="E123" s="486"/>
      <c r="F123" s="488"/>
      <c r="G123" s="486"/>
      <c r="H123" s="539"/>
      <c r="I123" s="539"/>
      <c r="J123" s="539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>
        <f t="shared" ref="Z123:Z124" si="18">SUM(K123:Y123)</f>
        <v>0</v>
      </c>
    </row>
    <row r="124" spans="1:26" ht="15" customHeight="1" x14ac:dyDescent="0.25">
      <c r="A124" s="538"/>
      <c r="B124" s="535"/>
      <c r="C124" s="487"/>
      <c r="D124" s="488"/>
      <c r="E124" s="486"/>
      <c r="F124" s="488"/>
      <c r="G124" s="486"/>
      <c r="H124" s="539"/>
      <c r="I124" s="539"/>
      <c r="J124" s="539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>
        <f t="shared" si="18"/>
        <v>0</v>
      </c>
    </row>
    <row r="125" spans="1:26" ht="15" customHeight="1" x14ac:dyDescent="0.25">
      <c r="A125" s="443" t="s">
        <v>1230</v>
      </c>
      <c r="B125" s="444"/>
      <c r="C125" s="445"/>
      <c r="D125" s="446"/>
      <c r="E125" s="447"/>
      <c r="F125" s="446"/>
      <c r="G125" s="447">
        <f>SUM(G119:G124)</f>
        <v>-7</v>
      </c>
      <c r="H125" s="448">
        <f>SUM(H119:H124)</f>
        <v>-9435</v>
      </c>
      <c r="I125" s="448">
        <f t="shared" ref="I125:J125" si="19">SUM(I119:I124)</f>
        <v>0</v>
      </c>
      <c r="J125" s="448">
        <f t="shared" si="19"/>
        <v>-3774</v>
      </c>
      <c r="K125" s="447">
        <f>SUM(K119:K124)</f>
        <v>-2</v>
      </c>
      <c r="L125" s="447">
        <f t="shared" ref="L125:Z125" si="20">SUM(L119:L124)</f>
        <v>0</v>
      </c>
      <c r="M125" s="447">
        <f t="shared" si="20"/>
        <v>0</v>
      </c>
      <c r="N125" s="447">
        <f t="shared" si="20"/>
        <v>-1</v>
      </c>
      <c r="O125" s="447">
        <f t="shared" si="20"/>
        <v>0</v>
      </c>
      <c r="P125" s="447">
        <f t="shared" si="20"/>
        <v>-2</v>
      </c>
      <c r="Q125" s="447">
        <f t="shared" si="20"/>
        <v>-2</v>
      </c>
      <c r="R125" s="447">
        <f t="shared" si="20"/>
        <v>0</v>
      </c>
      <c r="S125" s="447">
        <f t="shared" si="20"/>
        <v>0</v>
      </c>
      <c r="T125" s="447">
        <f t="shared" si="20"/>
        <v>0</v>
      </c>
      <c r="U125" s="447">
        <f t="shared" si="20"/>
        <v>0</v>
      </c>
      <c r="V125" s="447">
        <f t="shared" si="20"/>
        <v>0</v>
      </c>
      <c r="W125" s="447">
        <f t="shared" si="20"/>
        <v>0</v>
      </c>
      <c r="X125" s="447">
        <f t="shared" si="20"/>
        <v>0</v>
      </c>
      <c r="Y125" s="447">
        <f t="shared" si="20"/>
        <v>0</v>
      </c>
      <c r="Z125" s="447">
        <f t="shared" si="20"/>
        <v>-7</v>
      </c>
    </row>
    <row r="126" spans="1:26" ht="15.75" thickBot="1" x14ac:dyDescent="0.3"/>
    <row r="127" spans="1:26" ht="15.75" thickBot="1" x14ac:dyDescent="0.3">
      <c r="A127" s="436" t="s">
        <v>1232</v>
      </c>
      <c r="B127" s="434"/>
      <c r="C127" s="434"/>
      <c r="D127" s="434"/>
      <c r="E127" s="434"/>
      <c r="F127" s="434"/>
      <c r="G127" s="437">
        <f t="shared" ref="G127:Y127" si="21">G84+G96+G108+G115+G125</f>
        <v>-3</v>
      </c>
      <c r="H127" s="438">
        <f t="shared" si="21"/>
        <v>-872.5</v>
      </c>
      <c r="I127" s="438">
        <f t="shared" si="21"/>
        <v>5000</v>
      </c>
      <c r="J127" s="438">
        <f t="shared" si="21"/>
        <v>39764.6</v>
      </c>
      <c r="K127" s="450">
        <f t="shared" si="21"/>
        <v>-2</v>
      </c>
      <c r="L127" s="450">
        <f t="shared" si="21"/>
        <v>2</v>
      </c>
      <c r="M127" s="450">
        <f t="shared" si="21"/>
        <v>2</v>
      </c>
      <c r="N127" s="450">
        <f t="shared" si="21"/>
        <v>0</v>
      </c>
      <c r="O127" s="450">
        <f t="shared" si="21"/>
        <v>1</v>
      </c>
      <c r="P127" s="450">
        <f t="shared" si="21"/>
        <v>-3</v>
      </c>
      <c r="Q127" s="450">
        <f t="shared" si="21"/>
        <v>-3</v>
      </c>
      <c r="R127" s="450">
        <f t="shared" si="21"/>
        <v>0</v>
      </c>
      <c r="S127" s="450">
        <f t="shared" si="21"/>
        <v>0</v>
      </c>
      <c r="T127" s="450">
        <f t="shared" si="21"/>
        <v>0</v>
      </c>
      <c r="U127" s="450">
        <f t="shared" si="21"/>
        <v>0</v>
      </c>
      <c r="V127" s="450">
        <f t="shared" si="21"/>
        <v>0</v>
      </c>
      <c r="W127" s="450">
        <f t="shared" si="21"/>
        <v>1</v>
      </c>
      <c r="X127" s="450">
        <f t="shared" si="21"/>
        <v>1</v>
      </c>
      <c r="Y127" s="450">
        <f t="shared" si="21"/>
        <v>0</v>
      </c>
      <c r="Z127" s="450">
        <f>Z84+Z96+Z108+Z115+Z125</f>
        <v>-1</v>
      </c>
    </row>
    <row r="128" spans="1:26" ht="15.75" thickBot="1" x14ac:dyDescent="0.3">
      <c r="A128" s="436" t="s">
        <v>64</v>
      </c>
      <c r="B128" s="434"/>
      <c r="C128" s="434"/>
      <c r="D128" s="434"/>
      <c r="E128" s="434"/>
      <c r="F128" s="434"/>
      <c r="G128" s="437"/>
      <c r="H128" s="438"/>
      <c r="I128" s="438"/>
      <c r="J128" s="438"/>
    </row>
    <row r="129" spans="1:10" ht="15.75" thickBot="1" x14ac:dyDescent="0.3">
      <c r="A129" s="439" t="s">
        <v>452</v>
      </c>
      <c r="B129" s="440"/>
      <c r="C129" s="440"/>
      <c r="D129" s="440"/>
      <c r="E129" s="440"/>
      <c r="F129" s="440"/>
      <c r="G129" s="441"/>
      <c r="H129" s="442">
        <f>H127-H128</f>
        <v>-872.5</v>
      </c>
      <c r="I129" s="442"/>
      <c r="J129" s="442"/>
    </row>
    <row r="132" spans="1:10" x14ac:dyDescent="0.25">
      <c r="H132" s="435">
        <f>H84+H108+H115+H125</f>
        <v>-872.5</v>
      </c>
      <c r="I132" s="435"/>
      <c r="J132" s="435"/>
    </row>
  </sheetData>
  <mergeCells count="8">
    <mergeCell ref="G3:H3"/>
    <mergeCell ref="A86:B86"/>
    <mergeCell ref="A98:B98"/>
    <mergeCell ref="A110:B110"/>
    <mergeCell ref="A117:B11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32"/>
  <sheetViews>
    <sheetView topLeftCell="A97" zoomScale="80" zoomScaleNormal="80" workbookViewId="0">
      <selection activeCell="J125" sqref="J125"/>
    </sheetView>
  </sheetViews>
  <sheetFormatPr defaultColWidth="8.85546875" defaultRowHeight="15" x14ac:dyDescent="0.25"/>
  <cols>
    <col min="1" max="1" width="56.140625" style="419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1355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45" t="s">
        <v>1</v>
      </c>
      <c r="B4" s="545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0" t="s">
        <v>1307</v>
      </c>
      <c r="B5" s="530" t="s">
        <v>100</v>
      </c>
      <c r="C5" s="531">
        <v>1</v>
      </c>
      <c r="D5" s="542">
        <v>840</v>
      </c>
      <c r="E5" s="535">
        <v>1</v>
      </c>
      <c r="F5" s="542">
        <v>430</v>
      </c>
      <c r="G5" s="535">
        <f t="shared" ref="G5:H36" si="0">E5-C5</f>
        <v>0</v>
      </c>
      <c r="H5" s="542">
        <f t="shared" si="0"/>
        <v>-410</v>
      </c>
      <c r="I5" s="542"/>
      <c r="J5" s="542">
        <v>172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1">SUM(K5:Y5)</f>
        <v>0</v>
      </c>
    </row>
    <row r="6" spans="1:26" ht="14.45" customHeight="1" x14ac:dyDescent="0.25">
      <c r="A6" s="531" t="s">
        <v>281</v>
      </c>
      <c r="B6" s="530" t="s">
        <v>100</v>
      </c>
      <c r="C6" s="531">
        <v>1</v>
      </c>
      <c r="D6" s="542">
        <v>865</v>
      </c>
      <c r="E6" s="535">
        <v>1</v>
      </c>
      <c r="F6" s="542">
        <v>890</v>
      </c>
      <c r="G6" s="535">
        <f t="shared" si="0"/>
        <v>0</v>
      </c>
      <c r="H6" s="542">
        <f t="shared" si="0"/>
        <v>25</v>
      </c>
      <c r="I6" s="542"/>
      <c r="J6" s="542">
        <v>356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1" t="s">
        <v>245</v>
      </c>
      <c r="B7" s="531" t="s">
        <v>115</v>
      </c>
      <c r="C7" s="531">
        <v>7</v>
      </c>
      <c r="D7" s="542">
        <v>7749</v>
      </c>
      <c r="E7" s="535">
        <v>7</v>
      </c>
      <c r="F7" s="542">
        <v>6516</v>
      </c>
      <c r="G7" s="535">
        <f t="shared" si="0"/>
        <v>0</v>
      </c>
      <c r="H7" s="542">
        <f t="shared" si="0"/>
        <v>-1233</v>
      </c>
      <c r="I7" s="542"/>
      <c r="J7" s="542">
        <v>2606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1" t="s">
        <v>1292</v>
      </c>
      <c r="B8" s="530" t="s">
        <v>115</v>
      </c>
      <c r="C8" s="531">
        <v>4</v>
      </c>
      <c r="D8" s="542">
        <v>3990</v>
      </c>
      <c r="E8" s="535">
        <v>4</v>
      </c>
      <c r="F8" s="542">
        <v>5185</v>
      </c>
      <c r="G8" s="535">
        <f t="shared" si="0"/>
        <v>0</v>
      </c>
      <c r="H8" s="542">
        <f t="shared" si="0"/>
        <v>1195</v>
      </c>
      <c r="I8" s="542"/>
      <c r="J8" s="542">
        <v>2074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1" t="s">
        <v>356</v>
      </c>
      <c r="B9" s="531" t="s">
        <v>100</v>
      </c>
      <c r="C9" s="531"/>
      <c r="D9" s="542"/>
      <c r="E9" s="523"/>
      <c r="F9" s="477"/>
      <c r="G9" s="535">
        <f t="shared" si="0"/>
        <v>0</v>
      </c>
      <c r="H9" s="542">
        <f t="shared" si="0"/>
        <v>0</v>
      </c>
      <c r="I9" s="542"/>
      <c r="J9" s="542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1" t="s">
        <v>282</v>
      </c>
      <c r="B10" s="531" t="s">
        <v>100</v>
      </c>
      <c r="C10" s="531">
        <v>5</v>
      </c>
      <c r="D10" s="542">
        <v>6300</v>
      </c>
      <c r="E10" s="535">
        <v>5</v>
      </c>
      <c r="F10" s="542">
        <v>4100</v>
      </c>
      <c r="G10" s="535">
        <f t="shared" si="0"/>
        <v>0</v>
      </c>
      <c r="H10" s="542">
        <f t="shared" si="0"/>
        <v>-2200</v>
      </c>
      <c r="I10" s="542"/>
      <c r="J10" s="542">
        <v>1640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0" t="s">
        <v>1312</v>
      </c>
      <c r="B11" s="530" t="s">
        <v>115</v>
      </c>
      <c r="C11" s="530">
        <v>4</v>
      </c>
      <c r="D11" s="542">
        <v>6380</v>
      </c>
      <c r="E11" s="535">
        <v>4</v>
      </c>
      <c r="F11" s="542">
        <v>6572</v>
      </c>
      <c r="G11" s="535">
        <f t="shared" si="0"/>
        <v>0</v>
      </c>
      <c r="H11" s="542">
        <f t="shared" si="0"/>
        <v>192</v>
      </c>
      <c r="I11" s="542"/>
      <c r="J11" s="542">
        <v>2629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0" t="s">
        <v>1316</v>
      </c>
      <c r="B12" s="530" t="s">
        <v>115</v>
      </c>
      <c r="C12" s="530">
        <v>1</v>
      </c>
      <c r="D12" s="542">
        <v>1595</v>
      </c>
      <c r="E12" s="535">
        <v>1</v>
      </c>
      <c r="F12" s="542">
        <v>1643</v>
      </c>
      <c r="G12" s="535">
        <f t="shared" si="0"/>
        <v>0</v>
      </c>
      <c r="H12" s="542">
        <f t="shared" si="0"/>
        <v>48</v>
      </c>
      <c r="I12" s="542"/>
      <c r="J12" s="542">
        <v>657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0" t="s">
        <v>330</v>
      </c>
      <c r="B13" s="530" t="s">
        <v>100</v>
      </c>
      <c r="C13" s="531">
        <v>7</v>
      </c>
      <c r="D13" s="542">
        <v>9167</v>
      </c>
      <c r="E13" s="535">
        <v>7</v>
      </c>
      <c r="F13" s="542">
        <v>7880</v>
      </c>
      <c r="G13" s="535">
        <f t="shared" si="0"/>
        <v>0</v>
      </c>
      <c r="H13" s="542">
        <f t="shared" si="0"/>
        <v>-1287</v>
      </c>
      <c r="I13" s="542"/>
      <c r="J13" s="542">
        <v>3152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3" t="s">
        <v>273</v>
      </c>
      <c r="B14" s="531" t="s">
        <v>115</v>
      </c>
      <c r="C14" s="531">
        <v>10</v>
      </c>
      <c r="D14" s="542">
        <v>17113.5</v>
      </c>
      <c r="E14" s="535">
        <v>11</v>
      </c>
      <c r="F14" s="542">
        <v>18073</v>
      </c>
      <c r="G14" s="535">
        <f t="shared" si="0"/>
        <v>1</v>
      </c>
      <c r="H14" s="542">
        <f t="shared" si="0"/>
        <v>959.5</v>
      </c>
      <c r="I14" s="542"/>
      <c r="J14" s="542">
        <v>4120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1" t="s">
        <v>1567</v>
      </c>
      <c r="B15" s="531" t="s">
        <v>100</v>
      </c>
      <c r="C15" s="531">
        <v>3</v>
      </c>
      <c r="D15" s="542">
        <v>5400</v>
      </c>
      <c r="E15" s="535">
        <v>3</v>
      </c>
      <c r="F15" s="542">
        <v>4929</v>
      </c>
      <c r="G15" s="535">
        <f t="shared" si="0"/>
        <v>0</v>
      </c>
      <c r="H15" s="542">
        <f t="shared" si="0"/>
        <v>-471</v>
      </c>
      <c r="I15" s="542"/>
      <c r="J15" s="542">
        <v>1972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1" t="s">
        <v>1568</v>
      </c>
      <c r="B16" s="531" t="s">
        <v>100</v>
      </c>
      <c r="C16" s="531">
        <v>3</v>
      </c>
      <c r="D16" s="542">
        <v>-5400</v>
      </c>
      <c r="E16" s="535">
        <v>3</v>
      </c>
      <c r="F16" s="542">
        <v>-5400</v>
      </c>
      <c r="G16" s="535">
        <f t="shared" si="0"/>
        <v>0</v>
      </c>
      <c r="H16" s="542">
        <f t="shared" si="0"/>
        <v>0</v>
      </c>
      <c r="I16" s="542"/>
      <c r="J16" s="542">
        <v>0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0"/>
      <c r="B17" s="530"/>
      <c r="C17" s="531"/>
      <c r="D17" s="542"/>
      <c r="E17" s="535"/>
      <c r="F17" s="542"/>
      <c r="G17" s="535">
        <f t="shared" si="0"/>
        <v>0</v>
      </c>
      <c r="H17" s="542">
        <f t="shared" si="0"/>
        <v>0</v>
      </c>
      <c r="I17" s="542"/>
      <c r="J17" s="542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0"/>
      <c r="B18" s="530"/>
      <c r="C18" s="531"/>
      <c r="D18" s="542"/>
      <c r="E18" s="535"/>
      <c r="F18" s="542"/>
      <c r="G18" s="535">
        <f t="shared" si="0"/>
        <v>0</v>
      </c>
      <c r="H18" s="542">
        <f t="shared" si="0"/>
        <v>0</v>
      </c>
      <c r="I18" s="542"/>
      <c r="J18" s="542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0"/>
      <c r="B19" s="530"/>
      <c r="C19" s="531"/>
      <c r="D19" s="542"/>
      <c r="E19" s="535"/>
      <c r="F19" s="542"/>
      <c r="G19" s="535">
        <f t="shared" si="0"/>
        <v>0</v>
      </c>
      <c r="H19" s="542">
        <f t="shared" si="0"/>
        <v>0</v>
      </c>
      <c r="I19" s="542"/>
      <c r="J19" s="542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31"/>
      <c r="B20" s="531"/>
      <c r="C20" s="531"/>
      <c r="D20" s="542"/>
      <c r="E20" s="535"/>
      <c r="F20" s="542"/>
      <c r="G20" s="535">
        <f t="shared" si="0"/>
        <v>0</v>
      </c>
      <c r="H20" s="542">
        <f t="shared" si="0"/>
        <v>0</v>
      </c>
      <c r="I20" s="542"/>
      <c r="J20" s="542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3"/>
      <c r="B21" s="530"/>
      <c r="C21" s="531"/>
      <c r="D21" s="542"/>
      <c r="E21" s="535"/>
      <c r="F21" s="542"/>
      <c r="G21" s="535">
        <f t="shared" si="0"/>
        <v>0</v>
      </c>
      <c r="H21" s="542">
        <f t="shared" si="0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1"/>
      <c r="B22" s="531"/>
      <c r="C22" s="531"/>
      <c r="D22" s="542"/>
      <c r="E22" s="535"/>
      <c r="F22" s="542"/>
      <c r="G22" s="535">
        <f t="shared" si="0"/>
        <v>0</v>
      </c>
      <c r="H22" s="542">
        <f t="shared" si="0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534"/>
      <c r="B23" s="530"/>
      <c r="C23" s="531"/>
      <c r="D23" s="542"/>
      <c r="E23" s="535"/>
      <c r="F23" s="542"/>
      <c r="G23" s="535">
        <f t="shared" si="0"/>
        <v>0</v>
      </c>
      <c r="H23" s="542">
        <f t="shared" si="0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530"/>
      <c r="B24" s="530"/>
      <c r="C24" s="530"/>
      <c r="D24" s="542"/>
      <c r="E24" s="535"/>
      <c r="F24" s="542"/>
      <c r="G24" s="535">
        <f t="shared" si="0"/>
        <v>0</v>
      </c>
      <c r="H24" s="542">
        <f t="shared" si="0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530"/>
      <c r="B25" s="535"/>
      <c r="C25" s="531"/>
      <c r="D25" s="542"/>
      <c r="E25" s="535"/>
      <c r="F25" s="542"/>
      <c r="G25" s="535">
        <f t="shared" si="0"/>
        <v>0</v>
      </c>
      <c r="H25" s="542">
        <f t="shared" si="0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530"/>
      <c r="B26" s="535"/>
      <c r="C26" s="531"/>
      <c r="D26" s="542"/>
      <c r="E26" s="535"/>
      <c r="F26" s="542"/>
      <c r="G26" s="535">
        <f t="shared" si="0"/>
        <v>0</v>
      </c>
      <c r="H26" s="542">
        <f t="shared" si="0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hidden="1" customHeight="1" x14ac:dyDescent="0.25">
      <c r="A27" s="530"/>
      <c r="B27" s="535"/>
      <c r="C27" s="531"/>
      <c r="D27" s="542"/>
      <c r="E27" s="535"/>
      <c r="F27" s="542"/>
      <c r="G27" s="535">
        <f t="shared" si="0"/>
        <v>0</v>
      </c>
      <c r="H27" s="542">
        <f t="shared" si="0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hidden="1" customHeight="1" x14ac:dyDescent="0.25">
      <c r="A28" s="531"/>
      <c r="B28" s="535"/>
      <c r="C28" s="531"/>
      <c r="D28" s="542"/>
      <c r="E28" s="535"/>
      <c r="F28" s="542"/>
      <c r="G28" s="535">
        <f t="shared" si="0"/>
        <v>0</v>
      </c>
      <c r="H28" s="542">
        <f t="shared" si="0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hidden="1" customHeight="1" x14ac:dyDescent="0.25">
      <c r="A29" s="536"/>
      <c r="B29" s="535"/>
      <c r="C29" s="531"/>
      <c r="D29" s="542"/>
      <c r="E29" s="535"/>
      <c r="F29" s="542"/>
      <c r="G29" s="535">
        <f t="shared" si="0"/>
        <v>0</v>
      </c>
      <c r="H29" s="542">
        <f t="shared" si="0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hidden="1" customHeight="1" x14ac:dyDescent="0.25">
      <c r="A30" s="531"/>
      <c r="B30" s="535"/>
      <c r="C30" s="531"/>
      <c r="D30" s="542"/>
      <c r="E30" s="535"/>
      <c r="F30" s="542"/>
      <c r="G30" s="535">
        <f t="shared" si="0"/>
        <v>0</v>
      </c>
      <c r="H30" s="542">
        <f t="shared" si="0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hidden="1" customHeight="1" x14ac:dyDescent="0.25">
      <c r="A31" s="531"/>
      <c r="B31" s="535"/>
      <c r="C31" s="531"/>
      <c r="D31" s="542"/>
      <c r="E31" s="535"/>
      <c r="F31" s="542"/>
      <c r="G31" s="535">
        <f t="shared" si="0"/>
        <v>0</v>
      </c>
      <c r="H31" s="542">
        <f t="shared" si="0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hidden="1" customHeight="1" x14ac:dyDescent="0.25">
      <c r="A32" s="531"/>
      <c r="B32" s="535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hidden="1" customHeight="1" x14ac:dyDescent="0.25">
      <c r="A33" s="531"/>
      <c r="B33" s="535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hidden="1" customHeight="1" x14ac:dyDescent="0.25">
      <c r="A34" s="531"/>
      <c r="B34" s="535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hidden="1" customHeight="1" x14ac:dyDescent="0.25">
      <c r="A35" s="531"/>
      <c r="B35" s="535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hidden="1" customHeight="1" x14ac:dyDescent="0.25">
      <c r="A36" s="531"/>
      <c r="B36" s="535"/>
      <c r="C36" s="531"/>
      <c r="D36" s="542"/>
      <c r="E36" s="535"/>
      <c r="F36" s="542"/>
      <c r="G36" s="535">
        <f t="shared" si="0"/>
        <v>0</v>
      </c>
      <c r="H36" s="542">
        <f t="shared" si="0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1"/>
      <c r="B37" s="535"/>
      <c r="C37" s="531"/>
      <c r="D37" s="542"/>
      <c r="E37" s="535"/>
      <c r="F37" s="542"/>
      <c r="G37" s="535">
        <f t="shared" ref="G37:H68" si="2">E37-C37</f>
        <v>0</v>
      </c>
      <c r="H37" s="542">
        <f t="shared" si="2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5"/>
      <c r="C38" s="531"/>
      <c r="D38" s="542"/>
      <c r="E38" s="535"/>
      <c r="F38" s="542"/>
      <c r="G38" s="535">
        <f t="shared" si="2"/>
        <v>0</v>
      </c>
      <c r="H38" s="542">
        <f t="shared" si="2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5"/>
      <c r="C39" s="531"/>
      <c r="D39" s="542"/>
      <c r="E39" s="535"/>
      <c r="F39" s="542"/>
      <c r="G39" s="535">
        <f t="shared" si="2"/>
        <v>0</v>
      </c>
      <c r="H39" s="542">
        <f t="shared" si="2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5"/>
      <c r="C40" s="531"/>
      <c r="D40" s="542"/>
      <c r="E40" s="535"/>
      <c r="F40" s="542"/>
      <c r="G40" s="535">
        <f t="shared" si="2"/>
        <v>0</v>
      </c>
      <c r="H40" s="542">
        <f t="shared" si="2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5"/>
      <c r="C41" s="531"/>
      <c r="D41" s="542"/>
      <c r="E41" s="535"/>
      <c r="F41" s="542"/>
      <c r="G41" s="535">
        <f t="shared" si="2"/>
        <v>0</v>
      </c>
      <c r="H41" s="542">
        <f t="shared" si="2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4.45" hidden="1" customHeight="1" x14ac:dyDescent="0.25">
      <c r="A42" s="530"/>
      <c r="B42" s="535"/>
      <c r="C42" s="531"/>
      <c r="D42" s="542"/>
      <c r="E42" s="535"/>
      <c r="F42" s="542"/>
      <c r="G42" s="535">
        <f t="shared" si="2"/>
        <v>0</v>
      </c>
      <c r="H42" s="542">
        <f t="shared" si="2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5"/>
      <c r="C43" s="531"/>
      <c r="D43" s="542"/>
      <c r="E43" s="535"/>
      <c r="F43" s="542"/>
      <c r="G43" s="535">
        <f t="shared" si="2"/>
        <v>0</v>
      </c>
      <c r="H43" s="542">
        <f t="shared" si="2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5"/>
      <c r="C44" s="531"/>
      <c r="D44" s="542"/>
      <c r="E44" s="535"/>
      <c r="F44" s="542"/>
      <c r="G44" s="535">
        <f t="shared" si="2"/>
        <v>0</v>
      </c>
      <c r="H44" s="542">
        <f t="shared" si="2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5"/>
      <c r="C45" s="531"/>
      <c r="D45" s="542"/>
      <c r="E45" s="535"/>
      <c r="F45" s="542"/>
      <c r="G45" s="535">
        <f t="shared" si="2"/>
        <v>0</v>
      </c>
      <c r="H45" s="542">
        <f t="shared" si="2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5"/>
      <c r="C46" s="531"/>
      <c r="D46" s="542"/>
      <c r="E46" s="535"/>
      <c r="F46" s="542"/>
      <c r="G46" s="535">
        <f t="shared" si="2"/>
        <v>0</v>
      </c>
      <c r="H46" s="542">
        <f t="shared" si="2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5"/>
      <c r="C47" s="531"/>
      <c r="D47" s="542"/>
      <c r="E47" s="535"/>
      <c r="F47" s="542"/>
      <c r="G47" s="535">
        <f t="shared" si="2"/>
        <v>0</v>
      </c>
      <c r="H47" s="542">
        <f t="shared" si="2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7"/>
      <c r="B48" s="535"/>
      <c r="C48" s="531"/>
      <c r="D48" s="542"/>
      <c r="E48" s="535"/>
      <c r="F48" s="542"/>
      <c r="G48" s="535">
        <f t="shared" si="2"/>
        <v>0</v>
      </c>
      <c r="H48" s="542">
        <f t="shared" si="2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1"/>
      <c r="B49" s="535"/>
      <c r="C49" s="531"/>
      <c r="D49" s="542"/>
      <c r="E49" s="535"/>
      <c r="F49" s="542"/>
      <c r="G49" s="535">
        <f t="shared" si="2"/>
        <v>0</v>
      </c>
      <c r="H49" s="542">
        <f t="shared" si="2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0"/>
      <c r="B50" s="535"/>
      <c r="C50" s="530"/>
      <c r="D50" s="542"/>
      <c r="E50" s="535"/>
      <c r="F50" s="542"/>
      <c r="G50" s="535">
        <f t="shared" si="2"/>
        <v>0</v>
      </c>
      <c r="H50" s="542">
        <f t="shared" si="2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5"/>
      <c r="C51" s="530"/>
      <c r="D51" s="542"/>
      <c r="E51" s="535"/>
      <c r="F51" s="542"/>
      <c r="G51" s="535">
        <f t="shared" si="2"/>
        <v>0</v>
      </c>
      <c r="H51" s="542">
        <f t="shared" si="2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5"/>
      <c r="C52" s="530"/>
      <c r="D52" s="542"/>
      <c r="E52" s="535"/>
      <c r="F52" s="542"/>
      <c r="G52" s="535">
        <f t="shared" si="2"/>
        <v>0</v>
      </c>
      <c r="H52" s="542">
        <f t="shared" si="2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5"/>
      <c r="C53" s="530"/>
      <c r="D53" s="542"/>
      <c r="E53" s="535"/>
      <c r="F53" s="542"/>
      <c r="G53" s="535">
        <f t="shared" si="2"/>
        <v>0</v>
      </c>
      <c r="H53" s="542">
        <f t="shared" si="2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5"/>
      <c r="C54" s="530"/>
      <c r="D54" s="542"/>
      <c r="E54" s="535"/>
      <c r="F54" s="542"/>
      <c r="G54" s="535">
        <f t="shared" si="2"/>
        <v>0</v>
      </c>
      <c r="H54" s="542">
        <f t="shared" si="2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5"/>
      <c r="C55" s="530"/>
      <c r="D55" s="542"/>
      <c r="E55" s="535"/>
      <c r="F55" s="542"/>
      <c r="G55" s="535">
        <f t="shared" si="2"/>
        <v>0</v>
      </c>
      <c r="H55" s="542">
        <f t="shared" si="2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5"/>
      <c r="C56" s="530"/>
      <c r="D56" s="542"/>
      <c r="E56" s="535"/>
      <c r="F56" s="542"/>
      <c r="G56" s="535">
        <f t="shared" si="2"/>
        <v>0</v>
      </c>
      <c r="H56" s="542">
        <f t="shared" si="2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2"/>
        <v>0</v>
      </c>
      <c r="H57" s="542">
        <f t="shared" si="2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2"/>
        <v>0</v>
      </c>
      <c r="H58" s="542">
        <f t="shared" si="2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2"/>
        <v>0</v>
      </c>
      <c r="H59" s="542">
        <f t="shared" si="2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2"/>
        <v>0</v>
      </c>
      <c r="H60" s="542">
        <f t="shared" si="2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2"/>
        <v>0</v>
      </c>
      <c r="H61" s="542">
        <f t="shared" si="2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2"/>
        <v>0</v>
      </c>
      <c r="H62" s="542">
        <f t="shared" si="2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2"/>
        <v>0</v>
      </c>
      <c r="H63" s="542">
        <f t="shared" si="2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2"/>
        <v>0</v>
      </c>
      <c r="H64" s="542">
        <f t="shared" si="2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si="2"/>
        <v>0</v>
      </c>
      <c r="H65" s="542">
        <f t="shared" si="2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2"/>
        <v>0</v>
      </c>
      <c r="H66" s="542">
        <f t="shared" si="2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2"/>
        <v>0</v>
      </c>
      <c r="H67" s="542">
        <f t="shared" si="2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5"/>
      <c r="C68" s="531"/>
      <c r="D68" s="542"/>
      <c r="E68" s="535"/>
      <c r="F68" s="542"/>
      <c r="G68" s="535">
        <f t="shared" si="2"/>
        <v>0</v>
      </c>
      <c r="H68" s="542">
        <f t="shared" si="2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1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ref="G69:H83" si="3">E69-C69</f>
        <v>0</v>
      </c>
      <c r="H69" s="542">
        <f t="shared" si="3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4">SUM(K69:Y69)</f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3"/>
        <v>0</v>
      </c>
      <c r="H70" s="542">
        <f t="shared" si="3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3"/>
        <v>0</v>
      </c>
      <c r="H71" s="542">
        <f t="shared" si="3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hidden="1" customHeight="1" x14ac:dyDescent="0.25">
      <c r="A72" s="534"/>
      <c r="B72" s="535"/>
      <c r="C72" s="531"/>
      <c r="D72" s="542"/>
      <c r="E72" s="535"/>
      <c r="F72" s="542"/>
      <c r="G72" s="535">
        <f t="shared" si="3"/>
        <v>0</v>
      </c>
      <c r="H72" s="542">
        <f t="shared" si="3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hidden="1" customHeight="1" x14ac:dyDescent="0.25">
      <c r="A73" s="530"/>
      <c r="B73" s="535"/>
      <c r="C73" s="531"/>
      <c r="D73" s="542"/>
      <c r="E73" s="535"/>
      <c r="F73" s="542"/>
      <c r="G73" s="535">
        <f t="shared" si="3"/>
        <v>0</v>
      </c>
      <c r="H73" s="542">
        <f t="shared" si="3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hidden="1" customHeight="1" x14ac:dyDescent="0.25">
      <c r="A74" s="534"/>
      <c r="B74" s="535"/>
      <c r="C74" s="531"/>
      <c r="D74" s="542"/>
      <c r="E74" s="535"/>
      <c r="F74" s="542"/>
      <c r="G74" s="535">
        <f t="shared" si="3"/>
        <v>0</v>
      </c>
      <c r="H74" s="542">
        <f t="shared" si="3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hidden="1" customHeight="1" x14ac:dyDescent="0.25">
      <c r="A75" s="530"/>
      <c r="B75" s="535"/>
      <c r="C75" s="531"/>
      <c r="D75" s="542"/>
      <c r="E75" s="535"/>
      <c r="F75" s="542"/>
      <c r="G75" s="535">
        <f t="shared" si="3"/>
        <v>0</v>
      </c>
      <c r="H75" s="542">
        <f t="shared" si="3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hidden="1" customHeight="1" x14ac:dyDescent="0.25">
      <c r="A76" s="533"/>
      <c r="B76" s="535"/>
      <c r="C76" s="531"/>
      <c r="D76" s="542"/>
      <c r="E76" s="535"/>
      <c r="F76" s="542"/>
      <c r="G76" s="535">
        <f t="shared" si="3"/>
        <v>0</v>
      </c>
      <c r="H76" s="542">
        <f t="shared" si="3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hidden="1" customHeight="1" x14ac:dyDescent="0.25">
      <c r="A77" s="530"/>
      <c r="B77" s="535"/>
      <c r="C77" s="531"/>
      <c r="D77" s="542"/>
      <c r="E77" s="535"/>
      <c r="F77" s="542"/>
      <c r="G77" s="535">
        <f t="shared" si="3"/>
        <v>0</v>
      </c>
      <c r="H77" s="542">
        <f t="shared" si="3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4"/>
        <v>0</v>
      </c>
    </row>
    <row r="78" spans="1:26" ht="15" hidden="1" customHeight="1" x14ac:dyDescent="0.25">
      <c r="A78" s="530"/>
      <c r="B78" s="535"/>
      <c r="C78" s="531"/>
      <c r="D78" s="542"/>
      <c r="E78" s="535"/>
      <c r="F78" s="542"/>
      <c r="G78" s="535">
        <f t="shared" si="3"/>
        <v>0</v>
      </c>
      <c r="H78" s="542">
        <f t="shared" si="3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4"/>
        <v>0</v>
      </c>
    </row>
    <row r="79" spans="1:26" ht="15" hidden="1" customHeight="1" x14ac:dyDescent="0.25">
      <c r="A79" s="530"/>
      <c r="B79" s="535"/>
      <c r="C79" s="531"/>
      <c r="D79" s="542"/>
      <c r="E79" s="535"/>
      <c r="F79" s="542"/>
      <c r="G79" s="535">
        <f t="shared" si="3"/>
        <v>0</v>
      </c>
      <c r="H79" s="542">
        <f t="shared" si="3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4"/>
        <v>0</v>
      </c>
    </row>
    <row r="80" spans="1:26" ht="15" hidden="1" customHeight="1" x14ac:dyDescent="0.25">
      <c r="A80" s="538"/>
      <c r="B80" s="535"/>
      <c r="C80" s="535"/>
      <c r="D80" s="542"/>
      <c r="E80" s="535"/>
      <c r="F80" s="542"/>
      <c r="G80" s="535">
        <f t="shared" si="3"/>
        <v>0</v>
      </c>
      <c r="H80" s="542">
        <f t="shared" si="3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4"/>
        <v>0</v>
      </c>
    </row>
    <row r="81" spans="1:26" ht="15" hidden="1" customHeight="1" x14ac:dyDescent="0.25">
      <c r="A81" s="535"/>
      <c r="B81" s="535"/>
      <c r="C81" s="535"/>
      <c r="D81" s="542"/>
      <c r="E81" s="535"/>
      <c r="F81" s="542"/>
      <c r="G81" s="535">
        <f t="shared" si="3"/>
        <v>0</v>
      </c>
      <c r="H81" s="542">
        <f t="shared" si="3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4"/>
        <v>0</v>
      </c>
    </row>
    <row r="82" spans="1:26" ht="15" customHeight="1" x14ac:dyDescent="0.25">
      <c r="A82" s="535"/>
      <c r="B82" s="535"/>
      <c r="C82" s="535"/>
      <c r="D82" s="542"/>
      <c r="E82" s="535"/>
      <c r="F82" s="542"/>
      <c r="G82" s="535">
        <f t="shared" si="3"/>
        <v>0</v>
      </c>
      <c r="H82" s="542">
        <f t="shared" si="3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4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3"/>
        <v>0</v>
      </c>
      <c r="H83" s="542">
        <f t="shared" si="3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4"/>
        <v>0</v>
      </c>
    </row>
    <row r="84" spans="1:26" ht="15" customHeight="1" x14ac:dyDescent="0.25">
      <c r="A84" s="443" t="s">
        <v>1221</v>
      </c>
      <c r="B84" s="444"/>
      <c r="C84" s="447">
        <f>SUM(C5:C83)</f>
        <v>46</v>
      </c>
      <c r="D84" s="448">
        <f>SUM(D5:D83)</f>
        <v>53999.5</v>
      </c>
      <c r="E84" s="447">
        <f t="shared" ref="E84:J84" si="5">SUM(E5:E83)</f>
        <v>47</v>
      </c>
      <c r="F84" s="448">
        <f t="shared" si="5"/>
        <v>50818</v>
      </c>
      <c r="G84" s="447">
        <f t="shared" si="5"/>
        <v>1</v>
      </c>
      <c r="H84" s="448">
        <f t="shared" si="5"/>
        <v>-3181.5</v>
      </c>
      <c r="I84" s="447">
        <f t="shared" si="5"/>
        <v>0</v>
      </c>
      <c r="J84" s="448">
        <f t="shared" si="5"/>
        <v>19378</v>
      </c>
      <c r="K84" s="447">
        <f t="shared" ref="K84:Z84" si="6">SUM(K5:K83)</f>
        <v>0</v>
      </c>
      <c r="L84" s="447">
        <f t="shared" si="6"/>
        <v>0</v>
      </c>
      <c r="M84" s="447">
        <f t="shared" si="6"/>
        <v>0</v>
      </c>
      <c r="N84" s="447">
        <f t="shared" si="6"/>
        <v>0</v>
      </c>
      <c r="O84" s="447">
        <f t="shared" si="6"/>
        <v>0</v>
      </c>
      <c r="P84" s="447">
        <f t="shared" si="6"/>
        <v>0</v>
      </c>
      <c r="Q84" s="447">
        <f t="shared" si="6"/>
        <v>0</v>
      </c>
      <c r="R84" s="447">
        <f t="shared" si="6"/>
        <v>0</v>
      </c>
      <c r="S84" s="447">
        <f t="shared" si="6"/>
        <v>0</v>
      </c>
      <c r="T84" s="447">
        <f t="shared" si="6"/>
        <v>0</v>
      </c>
      <c r="U84" s="447">
        <f t="shared" si="6"/>
        <v>0</v>
      </c>
      <c r="V84" s="447">
        <f t="shared" si="6"/>
        <v>0</v>
      </c>
      <c r="W84" s="447">
        <f t="shared" si="6"/>
        <v>0</v>
      </c>
      <c r="X84" s="447">
        <f t="shared" si="6"/>
        <v>0</v>
      </c>
      <c r="Y84" s="447">
        <f t="shared" si="6"/>
        <v>0</v>
      </c>
      <c r="Z84" s="447">
        <f t="shared" si="6"/>
        <v>0</v>
      </c>
    </row>
    <row r="86" spans="1:26" x14ac:dyDescent="0.25">
      <c r="A86" s="739" t="s">
        <v>1227</v>
      </c>
      <c r="B86" s="739"/>
    </row>
    <row r="87" spans="1:26" ht="34.5" customHeight="1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s="535" customFormat="1" x14ac:dyDescent="0.25">
      <c r="A88" s="538" t="s">
        <v>1553</v>
      </c>
      <c r="B88" s="535" t="s">
        <v>115</v>
      </c>
      <c r="C88" s="487">
        <v>42503</v>
      </c>
      <c r="D88" s="488">
        <v>42507</v>
      </c>
      <c r="E88" s="486">
        <v>4</v>
      </c>
      <c r="F88" s="488">
        <v>42507</v>
      </c>
      <c r="G88" s="499">
        <v>1</v>
      </c>
      <c r="H88" s="539">
        <v>1643</v>
      </c>
      <c r="I88" s="539">
        <v>2500</v>
      </c>
      <c r="J88" s="539">
        <v>657</v>
      </c>
      <c r="Q88" s="535">
        <v>1</v>
      </c>
      <c r="Z88" s="535">
        <f>SUM(K88:Y88)</f>
        <v>1</v>
      </c>
    </row>
    <row r="89" spans="1:26" ht="15" customHeight="1" x14ac:dyDescent="0.25">
      <c r="A89" s="496" t="s">
        <v>1552</v>
      </c>
      <c r="B89" s="496" t="s">
        <v>100</v>
      </c>
      <c r="C89" s="514">
        <v>42391</v>
      </c>
      <c r="D89" s="514">
        <v>42505</v>
      </c>
      <c r="E89" s="496">
        <v>113</v>
      </c>
      <c r="F89" s="514">
        <v>42499</v>
      </c>
      <c r="G89" s="499">
        <v>7</v>
      </c>
      <c r="H89" s="557">
        <v>11501</v>
      </c>
      <c r="I89" s="554">
        <v>5000</v>
      </c>
      <c r="J89" s="554">
        <v>4600</v>
      </c>
      <c r="K89" s="496">
        <v>1</v>
      </c>
      <c r="L89" s="496">
        <v>1</v>
      </c>
      <c r="M89" s="496"/>
      <c r="N89" s="496">
        <v>1</v>
      </c>
      <c r="O89" s="496">
        <v>1</v>
      </c>
      <c r="P89" s="496">
        <v>1</v>
      </c>
      <c r="Q89" s="496">
        <v>1</v>
      </c>
      <c r="R89" s="496">
        <v>1</v>
      </c>
      <c r="S89" s="496"/>
      <c r="T89" s="496"/>
      <c r="U89" s="496"/>
      <c r="V89" s="496"/>
      <c r="W89" s="496"/>
      <c r="X89" s="496"/>
      <c r="Y89" s="496"/>
      <c r="Z89" s="535">
        <f>SUM(K89:Y89)</f>
        <v>7</v>
      </c>
    </row>
    <row r="90" spans="1:26" ht="15" customHeight="1" x14ac:dyDescent="0.25">
      <c r="A90" s="538" t="s">
        <v>1559</v>
      </c>
      <c r="B90" s="535" t="s">
        <v>100</v>
      </c>
      <c r="C90" s="487">
        <v>42208</v>
      </c>
      <c r="D90" s="488">
        <v>42517</v>
      </c>
      <c r="E90" s="486"/>
      <c r="F90" s="488">
        <v>42370</v>
      </c>
      <c r="G90" s="486">
        <v>8</v>
      </c>
      <c r="H90" s="539">
        <v>12760</v>
      </c>
      <c r="I90" s="539">
        <v>5000</v>
      </c>
      <c r="J90" s="539">
        <v>5104</v>
      </c>
      <c r="K90" s="535">
        <v>1</v>
      </c>
      <c r="L90" s="535">
        <v>1</v>
      </c>
      <c r="M90" s="535"/>
      <c r="N90" s="535">
        <v>1</v>
      </c>
      <c r="O90" s="535"/>
      <c r="P90" s="535">
        <v>1</v>
      </c>
      <c r="Q90" s="535">
        <v>1</v>
      </c>
      <c r="R90" s="535">
        <v>1</v>
      </c>
      <c r="S90" s="535">
        <v>1</v>
      </c>
      <c r="T90" s="535">
        <v>1</v>
      </c>
      <c r="U90" s="535"/>
      <c r="V90" s="535"/>
      <c r="W90" s="535"/>
      <c r="X90" s="535"/>
      <c r="Y90" s="535"/>
      <c r="Z90" s="535">
        <f>SUM(K90:Y90)</f>
        <v>8</v>
      </c>
    </row>
    <row r="91" spans="1:26" ht="29.45" customHeight="1" x14ac:dyDescent="0.25">
      <c r="A91" s="538" t="s">
        <v>1558</v>
      </c>
      <c r="B91" s="535" t="s">
        <v>100</v>
      </c>
      <c r="C91" s="487">
        <v>42208</v>
      </c>
      <c r="D91" s="488">
        <v>42517</v>
      </c>
      <c r="E91" s="486"/>
      <c r="F91" s="488">
        <v>42370</v>
      </c>
      <c r="G91" s="486">
        <v>3</v>
      </c>
      <c r="H91" s="539">
        <v>4785</v>
      </c>
      <c r="I91" s="539">
        <v>5000</v>
      </c>
      <c r="J91" s="539">
        <v>1914</v>
      </c>
      <c r="K91" s="535">
        <v>1</v>
      </c>
      <c r="L91" s="535"/>
      <c r="M91" s="535"/>
      <c r="N91" s="535"/>
      <c r="O91" s="535"/>
      <c r="P91" s="535">
        <v>1</v>
      </c>
      <c r="Q91" s="535">
        <v>1</v>
      </c>
      <c r="R91" s="535"/>
      <c r="S91" s="535"/>
      <c r="T91" s="535"/>
      <c r="U91" s="535"/>
      <c r="V91" s="535"/>
      <c r="W91" s="535"/>
      <c r="X91" s="535"/>
      <c r="Y91" s="535"/>
      <c r="Z91" s="535">
        <f>SUM(K91:Y91)</f>
        <v>3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>
        <f t="shared" ref="Z92:Z95" si="7">SUM(K92:Y92)</f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539"/>
      <c r="J93" s="539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>
        <f t="shared" si="7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>
        <f t="shared" si="7"/>
        <v>0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>
        <f t="shared" si="7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SUM(G88:G95)</f>
        <v>19</v>
      </c>
      <c r="H96" s="448">
        <f>SUM(H88:H95)</f>
        <v>30689</v>
      </c>
      <c r="I96" s="448">
        <f t="shared" ref="I96:J96" si="8">SUM(I88:I95)</f>
        <v>17500</v>
      </c>
      <c r="J96" s="448">
        <f t="shared" si="8"/>
        <v>12275</v>
      </c>
      <c r="K96" s="447">
        <f>SUM(K88:K95)</f>
        <v>3</v>
      </c>
      <c r="L96" s="447">
        <f t="shared" ref="L96:Z96" si="9">SUM(L88:L95)</f>
        <v>2</v>
      </c>
      <c r="M96" s="447">
        <f t="shared" si="9"/>
        <v>0</v>
      </c>
      <c r="N96" s="447">
        <f t="shared" si="9"/>
        <v>2</v>
      </c>
      <c r="O96" s="447">
        <f t="shared" si="9"/>
        <v>1</v>
      </c>
      <c r="P96" s="447">
        <f t="shared" si="9"/>
        <v>3</v>
      </c>
      <c r="Q96" s="447">
        <f t="shared" si="9"/>
        <v>4</v>
      </c>
      <c r="R96" s="447">
        <f t="shared" si="9"/>
        <v>2</v>
      </c>
      <c r="S96" s="447">
        <f t="shared" si="9"/>
        <v>1</v>
      </c>
      <c r="T96" s="447">
        <f t="shared" si="9"/>
        <v>1</v>
      </c>
      <c r="U96" s="447">
        <f t="shared" si="9"/>
        <v>0</v>
      </c>
      <c r="V96" s="447">
        <f t="shared" si="9"/>
        <v>0</v>
      </c>
      <c r="W96" s="447">
        <f t="shared" si="9"/>
        <v>0</v>
      </c>
      <c r="X96" s="447">
        <f t="shared" si="9"/>
        <v>0</v>
      </c>
      <c r="Y96" s="447">
        <f t="shared" si="9"/>
        <v>0</v>
      </c>
      <c r="Z96" s="447">
        <f t="shared" si="9"/>
        <v>19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45" t="s">
        <v>1</v>
      </c>
      <c r="B99" s="545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38" t="s">
        <v>1554</v>
      </c>
      <c r="B100" s="535" t="s">
        <v>115</v>
      </c>
      <c r="C100" s="487">
        <v>42418</v>
      </c>
      <c r="D100" s="488">
        <v>42503</v>
      </c>
      <c r="E100" s="486">
        <v>85</v>
      </c>
      <c r="F100" s="488">
        <v>42417</v>
      </c>
      <c r="G100" s="486">
        <v>2</v>
      </c>
      <c r="H100" s="539">
        <v>3190</v>
      </c>
      <c r="I100" s="456">
        <v>0</v>
      </c>
      <c r="J100" s="456">
        <v>1276</v>
      </c>
      <c r="K100" s="535">
        <v>1</v>
      </c>
      <c r="L100" s="535"/>
      <c r="M100" s="535"/>
      <c r="N100" s="535"/>
      <c r="O100" s="535"/>
      <c r="P100" s="535">
        <v>1</v>
      </c>
      <c r="Q100" s="535"/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2</v>
      </c>
    </row>
    <row r="101" spans="1:26" s="457" customFormat="1" ht="15" customHeight="1" x14ac:dyDescent="0.25">
      <c r="A101" s="538" t="s">
        <v>1557</v>
      </c>
      <c r="B101" s="452" t="s">
        <v>115</v>
      </c>
      <c r="C101" s="453">
        <v>42286</v>
      </c>
      <c r="D101" s="454">
        <v>42510</v>
      </c>
      <c r="E101" s="455">
        <v>221</v>
      </c>
      <c r="F101" s="454">
        <v>42510</v>
      </c>
      <c r="G101" s="455">
        <v>3</v>
      </c>
      <c r="H101" s="456">
        <v>4650</v>
      </c>
      <c r="I101" s="456">
        <v>5000</v>
      </c>
      <c r="J101" s="456">
        <v>0</v>
      </c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>
        <v>1</v>
      </c>
      <c r="X101" s="452">
        <v>1</v>
      </c>
      <c r="Y101" s="452">
        <v>1</v>
      </c>
      <c r="Z101" s="535">
        <f t="shared" ref="Z101:Z107" si="10">SUM(K101:Y101)</f>
        <v>3</v>
      </c>
    </row>
    <row r="102" spans="1:26" s="457" customFormat="1" ht="15" customHeight="1" x14ac:dyDescent="0.25">
      <c r="A102" s="538"/>
      <c r="B102" s="452"/>
      <c r="C102" s="453"/>
      <c r="D102" s="454"/>
      <c r="E102" s="455"/>
      <c r="F102" s="454"/>
      <c r="G102" s="455"/>
      <c r="H102" s="456"/>
      <c r="I102" s="456"/>
      <c r="J102" s="456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535">
        <f t="shared" si="10"/>
        <v>0</v>
      </c>
    </row>
    <row r="103" spans="1:26" s="457" customFormat="1" ht="15" customHeight="1" x14ac:dyDescent="0.25">
      <c r="A103" s="538"/>
      <c r="B103" s="452"/>
      <c r="C103" s="453"/>
      <c r="D103" s="454"/>
      <c r="E103" s="455"/>
      <c r="F103" s="454"/>
      <c r="G103" s="455"/>
      <c r="H103" s="456"/>
      <c r="I103" s="456"/>
      <c r="J103" s="456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535">
        <f t="shared" si="10"/>
        <v>0</v>
      </c>
    </row>
    <row r="104" spans="1:26" s="457" customFormat="1" ht="15" customHeight="1" x14ac:dyDescent="0.25">
      <c r="A104" s="538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>
        <f t="shared" si="10"/>
        <v>0</v>
      </c>
    </row>
    <row r="105" spans="1:26" s="457" customFormat="1" ht="15" customHeight="1" x14ac:dyDescent="0.25">
      <c r="A105" s="538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10"/>
        <v>0</v>
      </c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10"/>
        <v>0</v>
      </c>
    </row>
    <row r="107" spans="1:26" s="457" customFormat="1" ht="15" customHeight="1" x14ac:dyDescent="0.25">
      <c r="A107" s="54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>
        <f t="shared" si="10"/>
        <v>0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>SUM(G100:G107)</f>
        <v>5</v>
      </c>
      <c r="H108" s="448">
        <f>SUM(H100:H107)</f>
        <v>7840</v>
      </c>
      <c r="I108" s="448">
        <f t="shared" ref="I108:J108" si="11">SUM(I100:I107)</f>
        <v>5000</v>
      </c>
      <c r="J108" s="448">
        <f t="shared" si="11"/>
        <v>1276</v>
      </c>
      <c r="K108" s="447">
        <f>SUM(K100:K107)</f>
        <v>1</v>
      </c>
      <c r="L108" s="447">
        <f t="shared" ref="L108:Z108" si="12">SUM(L100:L107)</f>
        <v>0</v>
      </c>
      <c r="M108" s="447">
        <f t="shared" si="12"/>
        <v>0</v>
      </c>
      <c r="N108" s="447">
        <f t="shared" si="12"/>
        <v>0</v>
      </c>
      <c r="O108" s="447">
        <f t="shared" si="12"/>
        <v>0</v>
      </c>
      <c r="P108" s="447">
        <f t="shared" si="12"/>
        <v>1</v>
      </c>
      <c r="Q108" s="447">
        <f t="shared" si="12"/>
        <v>0</v>
      </c>
      <c r="R108" s="447">
        <f t="shared" si="12"/>
        <v>0</v>
      </c>
      <c r="S108" s="447">
        <f t="shared" si="12"/>
        <v>0</v>
      </c>
      <c r="T108" s="447">
        <f t="shared" si="12"/>
        <v>0</v>
      </c>
      <c r="U108" s="447">
        <f t="shared" si="12"/>
        <v>0</v>
      </c>
      <c r="V108" s="447">
        <f t="shared" si="12"/>
        <v>0</v>
      </c>
      <c r="W108" s="447">
        <f t="shared" si="12"/>
        <v>1</v>
      </c>
      <c r="X108" s="447">
        <f t="shared" si="12"/>
        <v>1</v>
      </c>
      <c r="Y108" s="447">
        <f t="shared" si="12"/>
        <v>1</v>
      </c>
      <c r="Z108" s="447">
        <f t="shared" si="12"/>
        <v>5</v>
      </c>
    </row>
    <row r="110" spans="1:26" x14ac:dyDescent="0.25">
      <c r="A110" s="739" t="s">
        <v>1229</v>
      </c>
      <c r="B110" s="739"/>
    </row>
    <row r="111" spans="1:26" ht="30" x14ac:dyDescent="0.25">
      <c r="A111" s="545" t="s">
        <v>1</v>
      </c>
      <c r="B111" s="545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38" t="s">
        <v>1569</v>
      </c>
      <c r="B112" s="452" t="s">
        <v>100</v>
      </c>
      <c r="C112" s="453">
        <v>42489</v>
      </c>
      <c r="D112" s="454">
        <v>42521</v>
      </c>
      <c r="E112" s="455">
        <v>33</v>
      </c>
      <c r="F112" s="454">
        <v>42491</v>
      </c>
      <c r="G112" s="455">
        <v>-1</v>
      </c>
      <c r="H112" s="456">
        <v>-2237</v>
      </c>
      <c r="I112" s="456"/>
      <c r="J112" s="456">
        <v>-895</v>
      </c>
      <c r="K112" s="555"/>
      <c r="L112" s="452"/>
      <c r="M112" s="452"/>
      <c r="N112" s="452"/>
      <c r="O112" s="452"/>
      <c r="P112" s="452"/>
      <c r="Q112" s="452"/>
      <c r="R112" s="452"/>
      <c r="S112" s="452">
        <v>-1</v>
      </c>
      <c r="T112" s="452"/>
      <c r="U112" s="452"/>
      <c r="V112" s="452"/>
      <c r="W112" s="452"/>
      <c r="X112" s="452"/>
      <c r="Y112" s="452"/>
      <c r="Z112" s="556">
        <f>SUM(K112:Y112)</f>
        <v>-1</v>
      </c>
    </row>
    <row r="113" spans="1:26" ht="15" customHeight="1" x14ac:dyDescent="0.25">
      <c r="A113" s="538"/>
      <c r="B113" s="535"/>
      <c r="C113" s="487"/>
      <c r="D113" s="488"/>
      <c r="E113" s="486"/>
      <c r="F113" s="488"/>
      <c r="G113" s="486"/>
      <c r="H113" s="539"/>
      <c r="I113" s="539"/>
      <c r="J113" s="539"/>
      <c r="K113" s="556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56">
        <f t="shared" ref="Z113:Z114" si="13">SUM(K113:Y113)</f>
        <v>0</v>
      </c>
    </row>
    <row r="114" spans="1:26" ht="15" customHeight="1" x14ac:dyDescent="0.25">
      <c r="A114" s="538"/>
      <c r="B114" s="535"/>
      <c r="C114" s="487"/>
      <c r="D114" s="488"/>
      <c r="E114" s="486"/>
      <c r="F114" s="488"/>
      <c r="G114" s="486"/>
      <c r="H114" s="539"/>
      <c r="I114" s="539"/>
      <c r="J114" s="539"/>
      <c r="K114" s="556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56">
        <f t="shared" si="13"/>
        <v>0</v>
      </c>
    </row>
    <row r="115" spans="1:26" ht="15" customHeight="1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-1</v>
      </c>
      <c r="H115" s="448">
        <f>SUM(H112:H114)</f>
        <v>-2237</v>
      </c>
      <c r="I115" s="448">
        <f>SUM(I112:I114)</f>
        <v>0</v>
      </c>
      <c r="J115" s="448">
        <f>SUM(J112:J114)</f>
        <v>-895</v>
      </c>
      <c r="K115" s="447">
        <f>SUM(K112:K114)</f>
        <v>0</v>
      </c>
      <c r="L115" s="447">
        <f t="shared" ref="L115:Z115" si="14">SUM(L112:L114)</f>
        <v>0</v>
      </c>
      <c r="M115" s="447">
        <f t="shared" si="14"/>
        <v>0</v>
      </c>
      <c r="N115" s="447">
        <f t="shared" si="14"/>
        <v>0</v>
      </c>
      <c r="O115" s="447">
        <f t="shared" si="14"/>
        <v>0</v>
      </c>
      <c r="P115" s="447">
        <f t="shared" si="14"/>
        <v>0</v>
      </c>
      <c r="Q115" s="447">
        <f t="shared" si="14"/>
        <v>0</v>
      </c>
      <c r="R115" s="447">
        <f t="shared" si="14"/>
        <v>0</v>
      </c>
      <c r="S115" s="447">
        <f t="shared" si="14"/>
        <v>-1</v>
      </c>
      <c r="T115" s="447">
        <f t="shared" si="14"/>
        <v>0</v>
      </c>
      <c r="U115" s="447">
        <f t="shared" si="14"/>
        <v>0</v>
      </c>
      <c r="V115" s="447">
        <f t="shared" si="14"/>
        <v>0</v>
      </c>
      <c r="W115" s="447">
        <f t="shared" si="14"/>
        <v>0</v>
      </c>
      <c r="X115" s="447">
        <f t="shared" si="14"/>
        <v>0</v>
      </c>
      <c r="Y115" s="447">
        <f t="shared" si="14"/>
        <v>0</v>
      </c>
      <c r="Z115" s="447">
        <f t="shared" si="14"/>
        <v>-1</v>
      </c>
    </row>
    <row r="117" spans="1:26" x14ac:dyDescent="0.25">
      <c r="A117" s="739" t="s">
        <v>1231</v>
      </c>
      <c r="B117" s="739"/>
    </row>
    <row r="118" spans="1:26" ht="30" x14ac:dyDescent="0.25">
      <c r="A118" s="545" t="s">
        <v>1</v>
      </c>
      <c r="B118" s="545" t="s">
        <v>59</v>
      </c>
      <c r="C118" s="425"/>
      <c r="D118" s="425"/>
      <c r="E118" s="425"/>
      <c r="F118" s="426"/>
      <c r="G118" s="432" t="s">
        <v>1225</v>
      </c>
      <c r="H118" s="427" t="s">
        <v>1224</v>
      </c>
      <c r="I118" s="427" t="s">
        <v>1498</v>
      </c>
      <c r="J118" s="427" t="s">
        <v>94</v>
      </c>
      <c r="K118" s="424" t="s">
        <v>681</v>
      </c>
      <c r="L118" s="424" t="s">
        <v>1496</v>
      </c>
      <c r="M118" s="424" t="s">
        <v>1497</v>
      </c>
      <c r="N118" s="424" t="s">
        <v>682</v>
      </c>
      <c r="O118" s="424" t="s">
        <v>683</v>
      </c>
      <c r="P118" s="424" t="s">
        <v>87</v>
      </c>
      <c r="Q118" s="424" t="s">
        <v>684</v>
      </c>
      <c r="R118" s="424" t="s">
        <v>685</v>
      </c>
      <c r="S118" s="424" t="s">
        <v>690</v>
      </c>
      <c r="T118" s="424" t="s">
        <v>686</v>
      </c>
      <c r="U118" s="424" t="s">
        <v>687</v>
      </c>
      <c r="V118" s="424" t="s">
        <v>688</v>
      </c>
      <c r="W118" s="424" t="s">
        <v>689</v>
      </c>
      <c r="X118" s="424" t="s">
        <v>138</v>
      </c>
      <c r="Y118" s="424" t="s">
        <v>1385</v>
      </c>
      <c r="Z118" s="424" t="s">
        <v>1238</v>
      </c>
    </row>
    <row r="119" spans="1:26" ht="15" customHeight="1" x14ac:dyDescent="0.25">
      <c r="A119" s="530" t="s">
        <v>1188</v>
      </c>
      <c r="B119" s="535" t="s">
        <v>100</v>
      </c>
      <c r="C119" s="487"/>
      <c r="D119" s="488"/>
      <c r="E119" s="486"/>
      <c r="F119" s="488"/>
      <c r="G119" s="486">
        <v>-1</v>
      </c>
      <c r="H119" s="539">
        <v>-1515</v>
      </c>
      <c r="I119" s="539"/>
      <c r="J119" s="539">
        <f>H119*0.4</f>
        <v>-606</v>
      </c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>
        <v>-1</v>
      </c>
      <c r="W119" s="535"/>
      <c r="X119" s="535"/>
      <c r="Y119" s="535"/>
      <c r="Z119" s="535">
        <f>SUM(K119:Y119)</f>
        <v>-1</v>
      </c>
    </row>
    <row r="120" spans="1:26" ht="15" customHeight="1" x14ac:dyDescent="0.25">
      <c r="A120" s="530" t="s">
        <v>1189</v>
      </c>
      <c r="B120" s="535" t="s">
        <v>100</v>
      </c>
      <c r="C120" s="487"/>
      <c r="D120" s="488"/>
      <c r="E120" s="486"/>
      <c r="F120" s="488"/>
      <c r="G120" s="486">
        <v>-1</v>
      </c>
      <c r="H120" s="539">
        <v>-1515</v>
      </c>
      <c r="I120" s="539"/>
      <c r="J120" s="539">
        <f>H120*0.4</f>
        <v>-606</v>
      </c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>
        <v>-1</v>
      </c>
      <c r="W120" s="535"/>
      <c r="X120" s="535"/>
      <c r="Y120" s="535"/>
      <c r="Z120" s="535">
        <f t="shared" ref="Z120:Z124" si="15">SUM(K120:Y120)</f>
        <v>-1</v>
      </c>
    </row>
    <row r="121" spans="1:26" ht="15" customHeight="1" x14ac:dyDescent="0.25">
      <c r="A121" s="530"/>
      <c r="B121" s="535"/>
      <c r="C121" s="487"/>
      <c r="D121" s="488"/>
      <c r="E121" s="486"/>
      <c r="F121" s="488"/>
      <c r="G121" s="486"/>
      <c r="H121" s="539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5"/>
        <v>0</v>
      </c>
    </row>
    <row r="122" spans="1:26" ht="15" customHeight="1" x14ac:dyDescent="0.25">
      <c r="A122" s="538"/>
      <c r="B122" s="535"/>
      <c r="C122" s="487"/>
      <c r="D122" s="488"/>
      <c r="E122" s="486"/>
      <c r="F122" s="488"/>
      <c r="G122" s="486"/>
      <c r="H122" s="539"/>
      <c r="I122" s="539"/>
      <c r="J122" s="539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>
        <f t="shared" si="15"/>
        <v>0</v>
      </c>
    </row>
    <row r="123" spans="1:26" ht="15" customHeight="1" x14ac:dyDescent="0.25">
      <c r="A123" s="538"/>
      <c r="B123" s="535"/>
      <c r="C123" s="487"/>
      <c r="D123" s="488"/>
      <c r="E123" s="486"/>
      <c r="F123" s="488"/>
      <c r="G123" s="486"/>
      <c r="H123" s="539"/>
      <c r="I123" s="539"/>
      <c r="J123" s="539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5"/>
      <c r="X123" s="535"/>
      <c r="Y123" s="535"/>
      <c r="Z123" s="535">
        <f t="shared" si="15"/>
        <v>0</v>
      </c>
    </row>
    <row r="124" spans="1:26" ht="15" customHeight="1" x14ac:dyDescent="0.25">
      <c r="A124" s="538"/>
      <c r="B124" s="535"/>
      <c r="C124" s="487"/>
      <c r="D124" s="488"/>
      <c r="E124" s="486"/>
      <c r="F124" s="488"/>
      <c r="G124" s="486"/>
      <c r="H124" s="539"/>
      <c r="I124" s="539"/>
      <c r="J124" s="539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>
        <f t="shared" si="15"/>
        <v>0</v>
      </c>
    </row>
    <row r="125" spans="1:26" ht="15" customHeight="1" x14ac:dyDescent="0.25">
      <c r="A125" s="443" t="s">
        <v>1230</v>
      </c>
      <c r="B125" s="444"/>
      <c r="C125" s="445"/>
      <c r="D125" s="446"/>
      <c r="E125" s="447"/>
      <c r="F125" s="446"/>
      <c r="G125" s="447">
        <f>SUM(G119:G124)</f>
        <v>-2</v>
      </c>
      <c r="H125" s="448">
        <f>SUM(H119:H124)</f>
        <v>-3030</v>
      </c>
      <c r="I125" s="448">
        <f>SUM(I119:I124)</f>
        <v>0</v>
      </c>
      <c r="J125" s="448">
        <f>SUM(J119:J124)</f>
        <v>-1212</v>
      </c>
      <c r="K125" s="447">
        <f>SUM(K119:K124)</f>
        <v>0</v>
      </c>
      <c r="L125" s="447">
        <f t="shared" ref="L125:Z125" si="16">SUM(L119:L124)</f>
        <v>0</v>
      </c>
      <c r="M125" s="447">
        <f t="shared" si="16"/>
        <v>0</v>
      </c>
      <c r="N125" s="447">
        <f t="shared" si="16"/>
        <v>0</v>
      </c>
      <c r="O125" s="447">
        <f t="shared" si="16"/>
        <v>0</v>
      </c>
      <c r="P125" s="447">
        <f t="shared" si="16"/>
        <v>0</v>
      </c>
      <c r="Q125" s="447">
        <f t="shared" si="16"/>
        <v>0</v>
      </c>
      <c r="R125" s="447">
        <f t="shared" si="16"/>
        <v>0</v>
      </c>
      <c r="S125" s="447">
        <f t="shared" si="16"/>
        <v>0</v>
      </c>
      <c r="T125" s="447">
        <f t="shared" si="16"/>
        <v>0</v>
      </c>
      <c r="U125" s="447">
        <f t="shared" si="16"/>
        <v>0</v>
      </c>
      <c r="V125" s="447">
        <f t="shared" si="16"/>
        <v>-2</v>
      </c>
      <c r="W125" s="447">
        <f t="shared" si="16"/>
        <v>0</v>
      </c>
      <c r="X125" s="447">
        <f t="shared" si="16"/>
        <v>0</v>
      </c>
      <c r="Y125" s="447">
        <f t="shared" si="16"/>
        <v>0</v>
      </c>
      <c r="Z125" s="447">
        <f t="shared" si="16"/>
        <v>-2</v>
      </c>
    </row>
    <row r="126" spans="1:26" ht="15.75" thickBot="1" x14ac:dyDescent="0.3"/>
    <row r="127" spans="1:26" ht="15.75" thickBot="1" x14ac:dyDescent="0.3">
      <c r="A127" s="436" t="s">
        <v>1232</v>
      </c>
      <c r="B127" s="434"/>
      <c r="C127" s="434"/>
      <c r="D127" s="434"/>
      <c r="E127" s="434"/>
      <c r="F127" s="434"/>
      <c r="G127" s="437">
        <f t="shared" ref="G127:Y127" si="17">G84+G96+G108+G115+G125</f>
        <v>22</v>
      </c>
      <c r="H127" s="438">
        <f>H84+H96+H108+H115+H125</f>
        <v>30080.5</v>
      </c>
      <c r="I127" s="438">
        <f>I84+I96+I108+I115+I125</f>
        <v>22500</v>
      </c>
      <c r="J127" s="438">
        <f>J84+J96+J108+J115+J125</f>
        <v>30822</v>
      </c>
      <c r="K127" s="450">
        <f t="shared" si="17"/>
        <v>4</v>
      </c>
      <c r="L127" s="450">
        <f t="shared" si="17"/>
        <v>2</v>
      </c>
      <c r="M127" s="450">
        <f t="shared" si="17"/>
        <v>0</v>
      </c>
      <c r="N127" s="450">
        <f t="shared" si="17"/>
        <v>2</v>
      </c>
      <c r="O127" s="450">
        <f t="shared" si="17"/>
        <v>1</v>
      </c>
      <c r="P127" s="450">
        <f t="shared" si="17"/>
        <v>4</v>
      </c>
      <c r="Q127" s="450">
        <f t="shared" si="17"/>
        <v>4</v>
      </c>
      <c r="R127" s="450">
        <f t="shared" si="17"/>
        <v>2</v>
      </c>
      <c r="S127" s="450">
        <f t="shared" si="17"/>
        <v>0</v>
      </c>
      <c r="T127" s="450">
        <f t="shared" si="17"/>
        <v>1</v>
      </c>
      <c r="U127" s="450">
        <f t="shared" si="17"/>
        <v>0</v>
      </c>
      <c r="V127" s="450">
        <f t="shared" si="17"/>
        <v>-2</v>
      </c>
      <c r="W127" s="450">
        <f t="shared" si="17"/>
        <v>1</v>
      </c>
      <c r="X127" s="450">
        <f t="shared" si="17"/>
        <v>1</v>
      </c>
      <c r="Y127" s="450">
        <f t="shared" si="17"/>
        <v>1</v>
      </c>
      <c r="Z127" s="450">
        <f>Z84+Z96+Z108+Z115+Z125</f>
        <v>21</v>
      </c>
    </row>
    <row r="128" spans="1:26" ht="15.75" thickBot="1" x14ac:dyDescent="0.3">
      <c r="A128" s="436" t="s">
        <v>64</v>
      </c>
      <c r="B128" s="434"/>
      <c r="C128" s="434"/>
      <c r="D128" s="434"/>
      <c r="E128" s="434"/>
      <c r="F128" s="434"/>
      <c r="G128" s="437"/>
      <c r="H128" s="438"/>
      <c r="I128" s="438"/>
      <c r="J128" s="438"/>
    </row>
    <row r="129" spans="1:10" ht="15.75" thickBot="1" x14ac:dyDescent="0.3">
      <c r="A129" s="439" t="s">
        <v>452</v>
      </c>
      <c r="B129" s="440"/>
      <c r="C129" s="440"/>
      <c r="D129" s="440"/>
      <c r="E129" s="440"/>
      <c r="F129" s="440"/>
      <c r="G129" s="441"/>
      <c r="H129" s="442">
        <f>H127-H128</f>
        <v>30080.5</v>
      </c>
      <c r="I129" s="442"/>
      <c r="J129" s="442"/>
    </row>
    <row r="132" spans="1:10" x14ac:dyDescent="0.25">
      <c r="H132" s="435">
        <f>H84+H108+H115+H125</f>
        <v>-608.5</v>
      </c>
      <c r="I132" s="435"/>
      <c r="J132" s="435"/>
    </row>
  </sheetData>
  <sortState ref="A88:Z91">
    <sortCondition ref="B88:B91"/>
  </sortState>
  <mergeCells count="8">
    <mergeCell ref="G3:H3"/>
    <mergeCell ref="A86:B86"/>
    <mergeCell ref="A98:B98"/>
    <mergeCell ref="A110:B110"/>
    <mergeCell ref="A117:B11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4"/>
  <sheetViews>
    <sheetView tabSelected="1" zoomScaleNormal="100" workbookViewId="0">
      <selection activeCell="B1" sqref="B1"/>
    </sheetView>
  </sheetViews>
  <sheetFormatPr defaultColWidth="8.85546875" defaultRowHeight="12.75" x14ac:dyDescent="0.2"/>
  <cols>
    <col min="1" max="1" width="70.140625" style="737" customWidth="1"/>
    <col min="2" max="2" width="18.42578125" style="737" customWidth="1"/>
    <col min="3" max="3" width="9.7109375" style="755" customWidth="1"/>
    <col min="4" max="4" width="33" style="737" hidden="1" customWidth="1"/>
    <col min="5" max="5" width="58.42578125" style="764" customWidth="1"/>
    <col min="6" max="16384" width="8.85546875" style="737"/>
  </cols>
  <sheetData>
    <row r="1" spans="1:5" s="747" customFormat="1" ht="14.25" x14ac:dyDescent="0.25">
      <c r="A1" s="744" t="s">
        <v>698</v>
      </c>
      <c r="B1" s="744" t="s">
        <v>696</v>
      </c>
      <c r="C1" s="745" t="s">
        <v>695</v>
      </c>
      <c r="D1" s="744" t="s">
        <v>697</v>
      </c>
      <c r="E1" s="746" t="s">
        <v>694</v>
      </c>
    </row>
    <row r="2" spans="1:5" x14ac:dyDescent="0.2">
      <c r="A2" s="748" t="s">
        <v>1329</v>
      </c>
      <c r="B2" s="748" t="s">
        <v>1335</v>
      </c>
      <c r="C2" s="752" t="s">
        <v>1331</v>
      </c>
      <c r="D2" s="748"/>
      <c r="E2" s="751" t="s">
        <v>919</v>
      </c>
    </row>
    <row r="3" spans="1:5" x14ac:dyDescent="0.2">
      <c r="A3" s="748" t="s">
        <v>1899</v>
      </c>
      <c r="B3" s="748" t="s">
        <v>1866</v>
      </c>
      <c r="C3" s="752" t="s">
        <v>1530</v>
      </c>
      <c r="D3" s="748"/>
      <c r="E3" s="751" t="s">
        <v>1347</v>
      </c>
    </row>
    <row r="4" spans="1:5" x14ac:dyDescent="0.2">
      <c r="A4" s="748" t="s">
        <v>1865</v>
      </c>
      <c r="B4" s="750" t="s">
        <v>1866</v>
      </c>
      <c r="C4" s="752" t="s">
        <v>1530</v>
      </c>
      <c r="D4" s="748"/>
      <c r="E4" s="751" t="s">
        <v>1347</v>
      </c>
    </row>
    <row r="5" spans="1:5" x14ac:dyDescent="0.2">
      <c r="A5" s="748" t="s">
        <v>1405</v>
      </c>
      <c r="B5" s="748" t="s">
        <v>1570</v>
      </c>
      <c r="C5" s="752" t="s">
        <v>1530</v>
      </c>
      <c r="D5" s="748"/>
      <c r="E5" s="751" t="s">
        <v>1347</v>
      </c>
    </row>
    <row r="6" spans="1:5" x14ac:dyDescent="0.2">
      <c r="A6" s="748" t="s">
        <v>1657</v>
      </c>
      <c r="B6" s="748" t="s">
        <v>1658</v>
      </c>
      <c r="C6" s="752" t="s">
        <v>123</v>
      </c>
      <c r="D6" s="748"/>
      <c r="E6" s="751" t="s">
        <v>893</v>
      </c>
    </row>
    <row r="7" spans="1:5" ht="13.5" customHeight="1" x14ac:dyDescent="0.2">
      <c r="A7" s="748" t="s">
        <v>1273</v>
      </c>
      <c r="B7" s="748" t="s">
        <v>1276</v>
      </c>
      <c r="C7" s="752" t="s">
        <v>123</v>
      </c>
      <c r="D7" s="748"/>
      <c r="E7" s="751" t="s">
        <v>893</v>
      </c>
    </row>
    <row r="8" spans="1:5" ht="13.5" customHeight="1" x14ac:dyDescent="0.2">
      <c r="A8" s="748" t="s">
        <v>1863</v>
      </c>
      <c r="B8" s="748" t="s">
        <v>1276</v>
      </c>
      <c r="C8" s="752" t="s">
        <v>123</v>
      </c>
      <c r="D8" s="748"/>
      <c r="E8" s="751" t="s">
        <v>893</v>
      </c>
    </row>
    <row r="9" spans="1:5" x14ac:dyDescent="0.2">
      <c r="A9" s="748" t="s">
        <v>1990</v>
      </c>
      <c r="B9" s="748" t="s">
        <v>1991</v>
      </c>
      <c r="C9" s="752" t="s">
        <v>123</v>
      </c>
      <c r="D9" s="748"/>
      <c r="E9" s="751" t="s">
        <v>893</v>
      </c>
    </row>
    <row r="10" spans="1:5" x14ac:dyDescent="0.2">
      <c r="A10" s="748" t="s">
        <v>1869</v>
      </c>
      <c r="B10" s="748" t="s">
        <v>1875</v>
      </c>
      <c r="C10" s="752" t="s">
        <v>123</v>
      </c>
      <c r="D10" s="748"/>
      <c r="E10" s="751" t="s">
        <v>893</v>
      </c>
    </row>
    <row r="11" spans="1:5" ht="13.5" customHeight="1" x14ac:dyDescent="0.2">
      <c r="A11" s="748" t="s">
        <v>896</v>
      </c>
      <c r="B11" s="748" t="s">
        <v>894</v>
      </c>
      <c r="C11" s="752" t="s">
        <v>123</v>
      </c>
      <c r="D11" s="748" t="s">
        <v>895</v>
      </c>
      <c r="E11" s="751" t="s">
        <v>893</v>
      </c>
    </row>
    <row r="12" spans="1:5" ht="14.25" customHeight="1" x14ac:dyDescent="0.2">
      <c r="A12" s="748" t="s">
        <v>898</v>
      </c>
      <c r="B12" s="748" t="s">
        <v>894</v>
      </c>
      <c r="C12" s="752" t="s">
        <v>123</v>
      </c>
      <c r="D12" s="748" t="s">
        <v>897</v>
      </c>
      <c r="E12" s="751" t="s">
        <v>893</v>
      </c>
    </row>
    <row r="13" spans="1:5" x14ac:dyDescent="0.2">
      <c r="A13" s="748" t="s">
        <v>1664</v>
      </c>
      <c r="B13" s="748" t="s">
        <v>894</v>
      </c>
      <c r="C13" s="752" t="s">
        <v>123</v>
      </c>
      <c r="D13" s="748"/>
      <c r="E13" s="751" t="s">
        <v>893</v>
      </c>
    </row>
    <row r="14" spans="1:5" x14ac:dyDescent="0.2">
      <c r="A14" s="748" t="s">
        <v>185</v>
      </c>
      <c r="B14" s="748" t="s">
        <v>923</v>
      </c>
      <c r="C14" s="752" t="s">
        <v>138</v>
      </c>
      <c r="D14" s="748" t="s">
        <v>921</v>
      </c>
      <c r="E14" s="751" t="s">
        <v>922</v>
      </c>
    </row>
    <row r="15" spans="1:5" x14ac:dyDescent="0.2">
      <c r="A15" s="748" t="s">
        <v>2004</v>
      </c>
      <c r="B15" s="748" t="s">
        <v>2003</v>
      </c>
      <c r="C15" s="752" t="s">
        <v>138</v>
      </c>
      <c r="D15" s="748"/>
      <c r="E15" s="751" t="s">
        <v>922</v>
      </c>
    </row>
    <row r="16" spans="1:5" x14ac:dyDescent="0.2">
      <c r="A16" s="748" t="s">
        <v>1443</v>
      </c>
      <c r="B16" s="748" t="s">
        <v>1444</v>
      </c>
      <c r="C16" s="752" t="s">
        <v>138</v>
      </c>
      <c r="D16" s="748"/>
      <c r="E16" s="751" t="s">
        <v>882</v>
      </c>
    </row>
    <row r="17" spans="1:5" x14ac:dyDescent="0.2">
      <c r="A17" s="748" t="s">
        <v>188</v>
      </c>
      <c r="B17" s="748" t="s">
        <v>883</v>
      </c>
      <c r="C17" s="752" t="s">
        <v>138</v>
      </c>
      <c r="D17" s="748" t="s">
        <v>884</v>
      </c>
      <c r="E17" s="751" t="s">
        <v>882</v>
      </c>
    </row>
    <row r="18" spans="1:5" x14ac:dyDescent="0.2">
      <c r="A18" s="748" t="s">
        <v>1818</v>
      </c>
      <c r="B18" s="748" t="s">
        <v>1819</v>
      </c>
      <c r="C18" s="752" t="s">
        <v>138</v>
      </c>
      <c r="D18" s="748"/>
      <c r="E18" s="751" t="s">
        <v>922</v>
      </c>
    </row>
    <row r="19" spans="1:5" x14ac:dyDescent="0.2">
      <c r="A19" s="748" t="s">
        <v>23</v>
      </c>
      <c r="B19" s="748" t="s">
        <v>924</v>
      </c>
      <c r="C19" s="752" t="s">
        <v>138</v>
      </c>
      <c r="D19" s="748" t="s">
        <v>925</v>
      </c>
      <c r="E19" s="751" t="s">
        <v>922</v>
      </c>
    </row>
    <row r="20" spans="1:5" x14ac:dyDescent="0.2">
      <c r="A20" s="748" t="s">
        <v>1999</v>
      </c>
      <c r="B20" s="748" t="s">
        <v>2001</v>
      </c>
      <c r="C20" s="752" t="s">
        <v>138</v>
      </c>
      <c r="D20" s="748"/>
      <c r="E20" s="751" t="s">
        <v>922</v>
      </c>
    </row>
    <row r="21" spans="1:5" x14ac:dyDescent="0.2">
      <c r="A21" s="748" t="s">
        <v>190</v>
      </c>
      <c r="B21" s="748" t="s">
        <v>926</v>
      </c>
      <c r="C21" s="752" t="s">
        <v>138</v>
      </c>
      <c r="D21" s="748" t="s">
        <v>927</v>
      </c>
      <c r="E21" s="751" t="s">
        <v>922</v>
      </c>
    </row>
    <row r="22" spans="1:5" x14ac:dyDescent="0.2">
      <c r="A22" s="748" t="s">
        <v>2000</v>
      </c>
      <c r="B22" s="748" t="s">
        <v>2002</v>
      </c>
      <c r="C22" s="752" t="s">
        <v>138</v>
      </c>
      <c r="D22" s="748"/>
      <c r="E22" s="751" t="s">
        <v>922</v>
      </c>
    </row>
    <row r="23" spans="1:5" ht="15.75" customHeight="1" x14ac:dyDescent="0.2">
      <c r="A23" s="748" t="s">
        <v>183</v>
      </c>
      <c r="B23" s="748" t="s">
        <v>928</v>
      </c>
      <c r="C23" s="752" t="s">
        <v>138</v>
      </c>
      <c r="D23" s="748" t="s">
        <v>929</v>
      </c>
      <c r="E23" s="751" t="s">
        <v>922</v>
      </c>
    </row>
    <row r="24" spans="1:5" ht="15" customHeight="1" x14ac:dyDescent="0.2">
      <c r="A24" s="748" t="s">
        <v>1332</v>
      </c>
      <c r="B24" s="748" t="s">
        <v>928</v>
      </c>
      <c r="C24" s="752" t="s">
        <v>138</v>
      </c>
      <c r="D24" s="748"/>
      <c r="E24" s="751" t="s">
        <v>922</v>
      </c>
    </row>
    <row r="25" spans="1:5" ht="14.25" customHeight="1" x14ac:dyDescent="0.2">
      <c r="A25" s="748" t="s">
        <v>181</v>
      </c>
      <c r="B25" s="748" t="s">
        <v>928</v>
      </c>
      <c r="C25" s="752" t="s">
        <v>138</v>
      </c>
      <c r="D25" s="748" t="s">
        <v>930</v>
      </c>
      <c r="E25" s="751" t="s">
        <v>922</v>
      </c>
    </row>
    <row r="26" spans="1:5" ht="25.5" x14ac:dyDescent="0.2">
      <c r="A26" s="748" t="s">
        <v>191</v>
      </c>
      <c r="B26" s="748" t="s">
        <v>928</v>
      </c>
      <c r="C26" s="752" t="s">
        <v>138</v>
      </c>
      <c r="D26" s="748" t="s">
        <v>931</v>
      </c>
      <c r="E26" s="751" t="s">
        <v>922</v>
      </c>
    </row>
    <row r="27" spans="1:5" x14ac:dyDescent="0.2">
      <c r="A27" s="748" t="s">
        <v>933</v>
      </c>
      <c r="B27" s="748" t="s">
        <v>932</v>
      </c>
      <c r="C27" s="752" t="s">
        <v>138</v>
      </c>
      <c r="D27" s="748"/>
      <c r="E27" s="751" t="s">
        <v>922</v>
      </c>
    </row>
    <row r="28" spans="1:5" ht="25.5" x14ac:dyDescent="0.2">
      <c r="A28" s="748" t="s">
        <v>182</v>
      </c>
      <c r="B28" s="748" t="s">
        <v>885</v>
      </c>
      <c r="C28" s="752" t="s">
        <v>138</v>
      </c>
      <c r="D28" s="748" t="s">
        <v>886</v>
      </c>
      <c r="E28" s="751" t="s">
        <v>882</v>
      </c>
    </row>
    <row r="29" spans="1:5" ht="15.75" customHeight="1" x14ac:dyDescent="0.2">
      <c r="A29" s="748" t="s">
        <v>1310</v>
      </c>
      <c r="B29" s="748" t="s">
        <v>1366</v>
      </c>
      <c r="C29" s="752" t="s">
        <v>138</v>
      </c>
      <c r="D29" s="748"/>
      <c r="E29" s="751" t="s">
        <v>882</v>
      </c>
    </row>
    <row r="30" spans="1:5" ht="25.5" x14ac:dyDescent="0.2">
      <c r="A30" s="748" t="s">
        <v>116</v>
      </c>
      <c r="B30" s="748" t="s">
        <v>887</v>
      </c>
      <c r="C30" s="752" t="s">
        <v>138</v>
      </c>
      <c r="D30" s="748" t="s">
        <v>888</v>
      </c>
      <c r="E30" s="751" t="s">
        <v>882</v>
      </c>
    </row>
    <row r="31" spans="1:5" x14ac:dyDescent="0.2">
      <c r="A31" s="748" t="s">
        <v>1836</v>
      </c>
      <c r="B31" s="748" t="s">
        <v>934</v>
      </c>
      <c r="C31" s="752" t="s">
        <v>138</v>
      </c>
      <c r="D31" s="748"/>
      <c r="E31" s="751" t="s">
        <v>922</v>
      </c>
    </row>
    <row r="32" spans="1:5" ht="15.6" customHeight="1" x14ac:dyDescent="0.2">
      <c r="A32" s="736" t="s">
        <v>1299</v>
      </c>
      <c r="B32" s="736" t="s">
        <v>934</v>
      </c>
      <c r="C32" s="754" t="s">
        <v>138</v>
      </c>
      <c r="D32" s="736"/>
      <c r="E32" s="751" t="s">
        <v>922</v>
      </c>
    </row>
    <row r="33" spans="1:5" ht="14.45" customHeight="1" x14ac:dyDescent="0.2">
      <c r="A33" s="748" t="s">
        <v>1996</v>
      </c>
      <c r="B33" s="748" t="s">
        <v>934</v>
      </c>
      <c r="C33" s="752" t="s">
        <v>138</v>
      </c>
      <c r="D33" s="748"/>
      <c r="E33" s="751" t="s">
        <v>922</v>
      </c>
    </row>
    <row r="34" spans="1:5" ht="13.5" customHeight="1" x14ac:dyDescent="0.2">
      <c r="A34" s="748" t="s">
        <v>176</v>
      </c>
      <c r="B34" s="748" t="s">
        <v>934</v>
      </c>
      <c r="C34" s="752" t="s">
        <v>138</v>
      </c>
      <c r="D34" s="759" t="s">
        <v>925</v>
      </c>
      <c r="E34" s="751" t="s">
        <v>922</v>
      </c>
    </row>
    <row r="35" spans="1:5" ht="25.5" x14ac:dyDescent="0.2">
      <c r="A35" s="748" t="s">
        <v>936</v>
      </c>
      <c r="B35" s="748" t="s">
        <v>934</v>
      </c>
      <c r="C35" s="752" t="s">
        <v>138</v>
      </c>
      <c r="D35" s="748" t="s">
        <v>935</v>
      </c>
      <c r="E35" s="751" t="s">
        <v>922</v>
      </c>
    </row>
    <row r="36" spans="1:5" x14ac:dyDescent="0.2">
      <c r="A36" s="748" t="s">
        <v>890</v>
      </c>
      <c r="B36" s="748" t="s">
        <v>889</v>
      </c>
      <c r="C36" s="752" t="s">
        <v>138</v>
      </c>
      <c r="D36" s="748"/>
      <c r="E36" s="751" t="s">
        <v>882</v>
      </c>
    </row>
    <row r="37" spans="1:5" x14ac:dyDescent="0.2">
      <c r="A37" s="748" t="s">
        <v>1342</v>
      </c>
      <c r="B37" s="748" t="s">
        <v>1333</v>
      </c>
      <c r="C37" s="752" t="s">
        <v>138</v>
      </c>
      <c r="D37" s="748"/>
      <c r="E37" s="751" t="s">
        <v>922</v>
      </c>
    </row>
    <row r="38" spans="1:5" ht="25.5" x14ac:dyDescent="0.2">
      <c r="A38" s="748" t="s">
        <v>189</v>
      </c>
      <c r="B38" s="748" t="s">
        <v>891</v>
      </c>
      <c r="C38" s="752" t="s">
        <v>138</v>
      </c>
      <c r="D38" s="748" t="s">
        <v>892</v>
      </c>
      <c r="E38" s="751" t="s">
        <v>882</v>
      </c>
    </row>
    <row r="39" spans="1:5" x14ac:dyDescent="0.2">
      <c r="A39" s="748" t="s">
        <v>1972</v>
      </c>
      <c r="B39" s="748" t="s">
        <v>1973</v>
      </c>
      <c r="C39" s="752" t="s">
        <v>138</v>
      </c>
      <c r="D39" s="748"/>
      <c r="E39" s="751" t="s">
        <v>922</v>
      </c>
    </row>
    <row r="40" spans="1:5" x14ac:dyDescent="0.2">
      <c r="A40" s="748" t="s">
        <v>186</v>
      </c>
      <c r="B40" s="748" t="s">
        <v>937</v>
      </c>
      <c r="C40" s="752" t="s">
        <v>138</v>
      </c>
      <c r="D40" s="748" t="s">
        <v>921</v>
      </c>
      <c r="E40" s="751" t="s">
        <v>922</v>
      </c>
    </row>
    <row r="41" spans="1:5" x14ac:dyDescent="0.2">
      <c r="A41" s="748" t="s">
        <v>1334</v>
      </c>
      <c r="B41" s="748" t="s">
        <v>938</v>
      </c>
      <c r="C41" s="752" t="s">
        <v>138</v>
      </c>
      <c r="D41" s="748"/>
      <c r="E41" s="751" t="s">
        <v>922</v>
      </c>
    </row>
    <row r="42" spans="1:5" ht="25.5" x14ac:dyDescent="0.2">
      <c r="A42" s="748" t="s">
        <v>939</v>
      </c>
      <c r="B42" s="748" t="s">
        <v>938</v>
      </c>
      <c r="C42" s="752" t="s">
        <v>138</v>
      </c>
      <c r="D42" s="748" t="s">
        <v>930</v>
      </c>
      <c r="E42" s="751" t="s">
        <v>922</v>
      </c>
    </row>
    <row r="43" spans="1:5" x14ac:dyDescent="0.2">
      <c r="A43" s="748" t="s">
        <v>1631</v>
      </c>
      <c r="B43" s="748" t="s">
        <v>1632</v>
      </c>
      <c r="C43" s="752" t="s">
        <v>1797</v>
      </c>
      <c r="D43" s="748"/>
      <c r="E43" s="751" t="s">
        <v>1796</v>
      </c>
    </row>
    <row r="44" spans="1:5" x14ac:dyDescent="0.2">
      <c r="A44" s="748" t="s">
        <v>1659</v>
      </c>
      <c r="B44" s="748" t="s">
        <v>1701</v>
      </c>
      <c r="C44" s="752" t="s">
        <v>1797</v>
      </c>
      <c r="D44" s="748"/>
      <c r="E44" s="751" t="s">
        <v>1796</v>
      </c>
    </row>
    <row r="45" spans="1:5" x14ac:dyDescent="0.2">
      <c r="A45" s="748" t="s">
        <v>1951</v>
      </c>
      <c r="B45" s="748" t="s">
        <v>1952</v>
      </c>
      <c r="C45" s="752" t="s">
        <v>1797</v>
      </c>
      <c r="D45" s="748"/>
      <c r="E45" s="751" t="s">
        <v>1796</v>
      </c>
    </row>
    <row r="46" spans="1:5" x14ac:dyDescent="0.2">
      <c r="A46" s="748" t="s">
        <v>1861</v>
      </c>
      <c r="B46" s="750" t="s">
        <v>1862</v>
      </c>
      <c r="C46" s="749" t="s">
        <v>1797</v>
      </c>
      <c r="D46" s="748"/>
      <c r="E46" s="751" t="s">
        <v>1796</v>
      </c>
    </row>
    <row r="47" spans="1:5" x14ac:dyDescent="0.2">
      <c r="A47" s="748" t="s">
        <v>1537</v>
      </c>
      <c r="B47" s="748" t="s">
        <v>1667</v>
      </c>
      <c r="C47" s="752" t="s">
        <v>1797</v>
      </c>
      <c r="D47" s="748"/>
      <c r="E47" s="751" t="s">
        <v>1796</v>
      </c>
    </row>
    <row r="48" spans="1:5" x14ac:dyDescent="0.2">
      <c r="A48" s="748" t="s">
        <v>582</v>
      </c>
      <c r="B48" s="748" t="s">
        <v>1666</v>
      </c>
      <c r="C48" s="752" t="s">
        <v>1797</v>
      </c>
      <c r="D48" s="748" t="s">
        <v>1134</v>
      </c>
      <c r="E48" s="751" t="s">
        <v>1796</v>
      </c>
    </row>
    <row r="49" spans="1:5" ht="25.5" x14ac:dyDescent="0.2">
      <c r="A49" s="748" t="s">
        <v>192</v>
      </c>
      <c r="B49" s="748" t="s">
        <v>899</v>
      </c>
      <c r="C49" s="752" t="s">
        <v>135</v>
      </c>
      <c r="D49" s="748" t="s">
        <v>900</v>
      </c>
      <c r="E49" s="751" t="s">
        <v>893</v>
      </c>
    </row>
    <row r="50" spans="1:5" x14ac:dyDescent="0.2">
      <c r="A50" s="748" t="s">
        <v>901</v>
      </c>
      <c r="B50" s="748" t="s">
        <v>899</v>
      </c>
      <c r="C50" s="752" t="s">
        <v>135</v>
      </c>
      <c r="D50" s="748"/>
      <c r="E50" s="751" t="s">
        <v>893</v>
      </c>
    </row>
    <row r="51" spans="1:5" ht="25.5" x14ac:dyDescent="0.2">
      <c r="A51" s="748" t="s">
        <v>193</v>
      </c>
      <c r="B51" s="748" t="s">
        <v>902</v>
      </c>
      <c r="C51" s="752" t="s">
        <v>135</v>
      </c>
      <c r="D51" s="748" t="s">
        <v>900</v>
      </c>
      <c r="E51" s="751" t="s">
        <v>893</v>
      </c>
    </row>
    <row r="52" spans="1:5" ht="25.5" x14ac:dyDescent="0.2">
      <c r="A52" s="748" t="s">
        <v>905</v>
      </c>
      <c r="B52" s="748" t="s">
        <v>902</v>
      </c>
      <c r="C52" s="752" t="s">
        <v>135</v>
      </c>
      <c r="D52" s="748" t="s">
        <v>904</v>
      </c>
      <c r="E52" s="751" t="s">
        <v>893</v>
      </c>
    </row>
    <row r="53" spans="1:5" x14ac:dyDescent="0.2">
      <c r="A53" s="748" t="s">
        <v>1679</v>
      </c>
      <c r="B53" s="748" t="s">
        <v>902</v>
      </c>
      <c r="C53" s="752" t="s">
        <v>135</v>
      </c>
      <c r="D53" s="748"/>
      <c r="E53" s="751" t="s">
        <v>893</v>
      </c>
    </row>
    <row r="54" spans="1:5" ht="25.5" x14ac:dyDescent="0.2">
      <c r="A54" s="750" t="s">
        <v>1957</v>
      </c>
      <c r="B54" s="748" t="s">
        <v>902</v>
      </c>
      <c r="C54" s="752" t="s">
        <v>135</v>
      </c>
      <c r="D54" s="748" t="s">
        <v>903</v>
      </c>
      <c r="E54" s="751" t="s">
        <v>893</v>
      </c>
    </row>
    <row r="55" spans="1:5" x14ac:dyDescent="0.2">
      <c r="A55" s="750" t="s">
        <v>1902</v>
      </c>
      <c r="B55" s="748" t="s">
        <v>902</v>
      </c>
      <c r="C55" s="752" t="s">
        <v>135</v>
      </c>
      <c r="D55" s="748" t="s">
        <v>906</v>
      </c>
      <c r="E55" s="751" t="s">
        <v>893</v>
      </c>
    </row>
    <row r="56" spans="1:5" x14ac:dyDescent="0.2">
      <c r="A56" s="748" t="s">
        <v>1955</v>
      </c>
      <c r="B56" s="748" t="s">
        <v>1956</v>
      </c>
      <c r="C56" s="752" t="s">
        <v>135</v>
      </c>
      <c r="D56" s="748"/>
      <c r="E56" s="751" t="s">
        <v>893</v>
      </c>
    </row>
    <row r="57" spans="1:5" x14ac:dyDescent="0.2">
      <c r="A57" s="750" t="s">
        <v>1903</v>
      </c>
      <c r="B57" s="750" t="s">
        <v>1921</v>
      </c>
      <c r="C57" s="752" t="s">
        <v>135</v>
      </c>
      <c r="D57" s="748" t="s">
        <v>906</v>
      </c>
      <c r="E57" s="751" t="s">
        <v>893</v>
      </c>
    </row>
    <row r="58" spans="1:5" x14ac:dyDescent="0.2">
      <c r="A58" s="748" t="s">
        <v>1636</v>
      </c>
      <c r="B58" s="748" t="s">
        <v>1638</v>
      </c>
      <c r="C58" s="752" t="s">
        <v>135</v>
      </c>
      <c r="D58" s="748"/>
      <c r="E58" s="751" t="s">
        <v>893</v>
      </c>
    </row>
    <row r="59" spans="1:5" x14ac:dyDescent="0.2">
      <c r="A59" s="748" t="s">
        <v>56</v>
      </c>
      <c r="B59" s="748" t="s">
        <v>1023</v>
      </c>
      <c r="C59" s="752" t="s">
        <v>157</v>
      </c>
      <c r="D59" s="748" t="s">
        <v>1024</v>
      </c>
      <c r="E59" s="751" t="s">
        <v>1022</v>
      </c>
    </row>
    <row r="60" spans="1:5" x14ac:dyDescent="0.2">
      <c r="A60" s="748" t="s">
        <v>48</v>
      </c>
      <c r="B60" s="748" t="s">
        <v>988</v>
      </c>
      <c r="C60" s="752" t="s">
        <v>157</v>
      </c>
      <c r="D60" s="748" t="s">
        <v>1025</v>
      </c>
      <c r="E60" s="751" t="s">
        <v>1022</v>
      </c>
    </row>
    <row r="61" spans="1:5" x14ac:dyDescent="0.2">
      <c r="A61" s="748" t="s">
        <v>196</v>
      </c>
      <c r="B61" s="748" t="s">
        <v>988</v>
      </c>
      <c r="C61" s="752" t="s">
        <v>157</v>
      </c>
      <c r="D61" s="748" t="s">
        <v>1026</v>
      </c>
      <c r="E61" s="751" t="s">
        <v>1022</v>
      </c>
    </row>
    <row r="62" spans="1:5" x14ac:dyDescent="0.2">
      <c r="A62" s="748" t="s">
        <v>1851</v>
      </c>
      <c r="B62" s="748" t="s">
        <v>1852</v>
      </c>
      <c r="C62" s="752" t="s">
        <v>157</v>
      </c>
      <c r="D62" s="748"/>
      <c r="E62" s="751" t="s">
        <v>1022</v>
      </c>
    </row>
    <row r="63" spans="1:5" x14ac:dyDescent="0.2">
      <c r="A63" s="748" t="s">
        <v>1884</v>
      </c>
      <c r="B63" s="750" t="s">
        <v>1885</v>
      </c>
      <c r="C63" s="749" t="s">
        <v>157</v>
      </c>
      <c r="D63" s="748"/>
      <c r="E63" s="751" t="s">
        <v>1022</v>
      </c>
    </row>
    <row r="64" spans="1:5" x14ac:dyDescent="0.2">
      <c r="A64" s="748" t="s">
        <v>197</v>
      </c>
      <c r="B64" s="748" t="s">
        <v>1027</v>
      </c>
      <c r="C64" s="752" t="s">
        <v>157</v>
      </c>
      <c r="D64" s="748" t="s">
        <v>1028</v>
      </c>
      <c r="E64" s="751" t="s">
        <v>1022</v>
      </c>
    </row>
    <row r="65" spans="1:5" x14ac:dyDescent="0.2">
      <c r="A65" s="748" t="s">
        <v>2010</v>
      </c>
      <c r="B65" s="748" t="s">
        <v>731</v>
      </c>
      <c r="C65" s="752" t="s">
        <v>357</v>
      </c>
      <c r="D65" s="748"/>
      <c r="E65" s="751" t="s">
        <v>834</v>
      </c>
    </row>
    <row r="66" spans="1:5" x14ac:dyDescent="0.2">
      <c r="A66" s="748" t="s">
        <v>1908</v>
      </c>
      <c r="B66" s="748" t="s">
        <v>731</v>
      </c>
      <c r="C66" s="752" t="s">
        <v>357</v>
      </c>
      <c r="D66" s="748"/>
      <c r="E66" s="751" t="s">
        <v>834</v>
      </c>
    </row>
    <row r="67" spans="1:5" x14ac:dyDescent="0.2">
      <c r="A67" s="750" t="s">
        <v>1843</v>
      </c>
      <c r="B67" s="748" t="s">
        <v>731</v>
      </c>
      <c r="C67" s="752" t="s">
        <v>357</v>
      </c>
      <c r="D67" s="748" t="s">
        <v>732</v>
      </c>
      <c r="E67" s="751" t="s">
        <v>834</v>
      </c>
    </row>
    <row r="68" spans="1:5" x14ac:dyDescent="0.2">
      <c r="A68" s="748" t="s">
        <v>167</v>
      </c>
      <c r="B68" s="748" t="s">
        <v>835</v>
      </c>
      <c r="C68" s="752" t="s">
        <v>168</v>
      </c>
      <c r="D68" s="748"/>
      <c r="E68" s="751" t="s">
        <v>834</v>
      </c>
    </row>
    <row r="69" spans="1:5" x14ac:dyDescent="0.2">
      <c r="A69" s="748" t="s">
        <v>198</v>
      </c>
      <c r="B69" s="748" t="s">
        <v>836</v>
      </c>
      <c r="C69" s="752" t="s">
        <v>168</v>
      </c>
      <c r="D69" s="748"/>
      <c r="E69" s="751" t="s">
        <v>834</v>
      </c>
    </row>
    <row r="70" spans="1:5" x14ac:dyDescent="0.2">
      <c r="A70" s="748" t="s">
        <v>1948</v>
      </c>
      <c r="B70" s="748" t="s">
        <v>1949</v>
      </c>
      <c r="C70" s="752" t="s">
        <v>141</v>
      </c>
      <c r="D70" s="748"/>
      <c r="E70" s="751" t="s">
        <v>1347</v>
      </c>
    </row>
    <row r="71" spans="1:5" x14ac:dyDescent="0.2">
      <c r="A71" s="748" t="s">
        <v>1897</v>
      </c>
      <c r="B71" s="748" t="s">
        <v>1898</v>
      </c>
      <c r="C71" s="752" t="s">
        <v>141</v>
      </c>
      <c r="D71" s="748"/>
      <c r="E71" s="751" t="s">
        <v>1347</v>
      </c>
    </row>
    <row r="72" spans="1:5" ht="14.45" customHeight="1" x14ac:dyDescent="0.2">
      <c r="A72" s="748" t="s">
        <v>1960</v>
      </c>
      <c r="B72" s="748" t="s">
        <v>1961</v>
      </c>
      <c r="C72" s="752" t="s">
        <v>141</v>
      </c>
      <c r="D72" s="748"/>
      <c r="E72" s="751" t="s">
        <v>1347</v>
      </c>
    </row>
    <row r="73" spans="1:5" x14ac:dyDescent="0.2">
      <c r="A73" s="748" t="s">
        <v>1939</v>
      </c>
      <c r="B73" s="748" t="s">
        <v>1940</v>
      </c>
      <c r="C73" s="752" t="s">
        <v>141</v>
      </c>
      <c r="D73" s="748"/>
      <c r="E73" s="751" t="s">
        <v>1347</v>
      </c>
    </row>
    <row r="74" spans="1:5" x14ac:dyDescent="0.2">
      <c r="A74" s="748" t="s">
        <v>1984</v>
      </c>
      <c r="B74" s="748" t="s">
        <v>1986</v>
      </c>
      <c r="C74" s="752" t="s">
        <v>141</v>
      </c>
      <c r="D74" s="748"/>
      <c r="E74" s="751" t="s">
        <v>1347</v>
      </c>
    </row>
    <row r="75" spans="1:5" ht="13.9" customHeight="1" x14ac:dyDescent="0.2">
      <c r="A75" s="748" t="s">
        <v>1992</v>
      </c>
      <c r="B75" s="748" t="s">
        <v>1995</v>
      </c>
      <c r="C75" s="752" t="s">
        <v>141</v>
      </c>
      <c r="D75" s="748"/>
      <c r="E75" s="751" t="s">
        <v>940</v>
      </c>
    </row>
    <row r="76" spans="1:5" ht="14.25" customHeight="1" x14ac:dyDescent="0.2">
      <c r="A76" s="748" t="s">
        <v>1904</v>
      </c>
      <c r="B76" s="748" t="s">
        <v>1905</v>
      </c>
      <c r="C76" s="752" t="s">
        <v>141</v>
      </c>
      <c r="D76" s="748"/>
      <c r="E76" s="751" t="s">
        <v>1347</v>
      </c>
    </row>
    <row r="77" spans="1:5" x14ac:dyDescent="0.2">
      <c r="A77" s="748" t="s">
        <v>1896</v>
      </c>
      <c r="B77" s="748" t="s">
        <v>1795</v>
      </c>
      <c r="C77" s="752" t="s">
        <v>141</v>
      </c>
      <c r="D77" s="748"/>
      <c r="E77" s="751" t="s">
        <v>1347</v>
      </c>
    </row>
    <row r="78" spans="1:5" ht="16.899999999999999" customHeight="1" x14ac:dyDescent="0.2">
      <c r="A78" s="748" t="s">
        <v>1794</v>
      </c>
      <c r="B78" s="748" t="s">
        <v>1795</v>
      </c>
      <c r="C78" s="752" t="s">
        <v>141</v>
      </c>
      <c r="D78" s="748"/>
      <c r="E78" s="751" t="s">
        <v>1347</v>
      </c>
    </row>
    <row r="79" spans="1:5" ht="14.45" customHeight="1" x14ac:dyDescent="0.2">
      <c r="A79" s="750" t="s">
        <v>1976</v>
      </c>
      <c r="B79" s="748" t="s">
        <v>1795</v>
      </c>
      <c r="C79" s="752" t="s">
        <v>141</v>
      </c>
      <c r="D79" s="748"/>
      <c r="E79" s="751" t="s">
        <v>1347</v>
      </c>
    </row>
    <row r="80" spans="1:5" ht="14.25" customHeight="1" x14ac:dyDescent="0.2">
      <c r="A80" s="748" t="s">
        <v>203</v>
      </c>
      <c r="B80" s="748" t="s">
        <v>740</v>
      </c>
      <c r="C80" s="752" t="s">
        <v>141</v>
      </c>
      <c r="D80" s="748" t="s">
        <v>741</v>
      </c>
      <c r="E80" s="751" t="s">
        <v>1347</v>
      </c>
    </row>
    <row r="81" spans="1:5" x14ac:dyDescent="0.2">
      <c r="A81" s="748" t="s">
        <v>202</v>
      </c>
      <c r="B81" s="748" t="s">
        <v>742</v>
      </c>
      <c r="C81" s="752" t="s">
        <v>141</v>
      </c>
      <c r="D81" s="748" t="s">
        <v>743</v>
      </c>
      <c r="E81" s="751" t="s">
        <v>1347</v>
      </c>
    </row>
    <row r="82" spans="1:5" x14ac:dyDescent="0.2">
      <c r="A82" s="748" t="s">
        <v>1737</v>
      </c>
      <c r="B82" s="748" t="s">
        <v>1277</v>
      </c>
      <c r="C82" s="752" t="s">
        <v>141</v>
      </c>
      <c r="D82" s="748"/>
      <c r="E82" s="751" t="s">
        <v>1347</v>
      </c>
    </row>
    <row r="83" spans="1:5" ht="15" customHeight="1" x14ac:dyDescent="0.2">
      <c r="A83" s="748" t="s">
        <v>1274</v>
      </c>
      <c r="B83" s="748" t="s">
        <v>1277</v>
      </c>
      <c r="C83" s="752" t="s">
        <v>141</v>
      </c>
      <c r="D83" s="748"/>
      <c r="E83" s="751" t="s">
        <v>1347</v>
      </c>
    </row>
    <row r="84" spans="1:5" ht="13.5" customHeight="1" x14ac:dyDescent="0.2">
      <c r="A84" s="748" t="s">
        <v>1887</v>
      </c>
      <c r="B84" s="748" t="s">
        <v>1889</v>
      </c>
      <c r="C84" s="752" t="s">
        <v>141</v>
      </c>
      <c r="D84" s="748"/>
      <c r="E84" s="751" t="s">
        <v>1347</v>
      </c>
    </row>
    <row r="85" spans="1:5" ht="13.5" customHeight="1" x14ac:dyDescent="0.2">
      <c r="A85" s="736" t="s">
        <v>2006</v>
      </c>
      <c r="B85" s="736" t="s">
        <v>1889</v>
      </c>
      <c r="C85" s="754" t="s">
        <v>141</v>
      </c>
      <c r="D85" s="736"/>
      <c r="E85" s="751" t="s">
        <v>1347</v>
      </c>
    </row>
    <row r="86" spans="1:5" x14ac:dyDescent="0.2">
      <c r="A86" s="748" t="s">
        <v>201</v>
      </c>
      <c r="B86" s="748" t="s">
        <v>744</v>
      </c>
      <c r="C86" s="752" t="s">
        <v>141</v>
      </c>
      <c r="D86" s="748" t="s">
        <v>745</v>
      </c>
      <c r="E86" s="751" t="s">
        <v>1347</v>
      </c>
    </row>
    <row r="87" spans="1:5" x14ac:dyDescent="0.2">
      <c r="A87" s="748" t="s">
        <v>1160</v>
      </c>
      <c r="B87" s="748" t="s">
        <v>746</v>
      </c>
      <c r="C87" s="752" t="s">
        <v>141</v>
      </c>
      <c r="D87" s="748"/>
      <c r="E87" s="751" t="s">
        <v>1347</v>
      </c>
    </row>
    <row r="88" spans="1:5" ht="15" customHeight="1" x14ac:dyDescent="0.2">
      <c r="A88" s="748" t="s">
        <v>1547</v>
      </c>
      <c r="B88" s="748" t="s">
        <v>746</v>
      </c>
      <c r="C88" s="752" t="s">
        <v>141</v>
      </c>
      <c r="D88" s="748"/>
      <c r="E88" s="751" t="s">
        <v>1347</v>
      </c>
    </row>
    <row r="89" spans="1:5" x14ac:dyDescent="0.2">
      <c r="A89" s="748" t="s">
        <v>1989</v>
      </c>
      <c r="B89" s="748" t="s">
        <v>1688</v>
      </c>
      <c r="C89" s="752" t="s">
        <v>141</v>
      </c>
      <c r="D89" s="748"/>
      <c r="E89" s="751" t="s">
        <v>1347</v>
      </c>
    </row>
    <row r="90" spans="1:5" x14ac:dyDescent="0.2">
      <c r="A90" s="748" t="s">
        <v>1687</v>
      </c>
      <c r="B90" s="748" t="s">
        <v>1688</v>
      </c>
      <c r="C90" s="752" t="s">
        <v>141</v>
      </c>
      <c r="D90" s="748"/>
      <c r="E90" s="751" t="s">
        <v>1347</v>
      </c>
    </row>
    <row r="91" spans="1:5" ht="14.45" customHeight="1" x14ac:dyDescent="0.2">
      <c r="A91" s="750" t="s">
        <v>1886</v>
      </c>
      <c r="B91" s="748" t="s">
        <v>747</v>
      </c>
      <c r="C91" s="752" t="s">
        <v>141</v>
      </c>
      <c r="D91" s="748"/>
      <c r="E91" s="751" t="s">
        <v>1347</v>
      </c>
    </row>
    <row r="92" spans="1:5" x14ac:dyDescent="0.2">
      <c r="A92" s="748" t="s">
        <v>748</v>
      </c>
      <c r="B92" s="748" t="s">
        <v>747</v>
      </c>
      <c r="C92" s="752" t="s">
        <v>141</v>
      </c>
      <c r="D92" s="748"/>
      <c r="E92" s="751" t="s">
        <v>1347</v>
      </c>
    </row>
    <row r="93" spans="1:5" x14ac:dyDescent="0.2">
      <c r="A93" s="748" t="s">
        <v>200</v>
      </c>
      <c r="B93" s="748" t="s">
        <v>747</v>
      </c>
      <c r="C93" s="752" t="s">
        <v>141</v>
      </c>
      <c r="D93" s="748" t="s">
        <v>745</v>
      </c>
      <c r="E93" s="751" t="s">
        <v>1347</v>
      </c>
    </row>
    <row r="94" spans="1:5" x14ac:dyDescent="0.2">
      <c r="A94" s="748" t="s">
        <v>1438</v>
      </c>
      <c r="B94" s="748" t="s">
        <v>1445</v>
      </c>
      <c r="C94" s="752" t="s">
        <v>141</v>
      </c>
      <c r="D94" s="748"/>
      <c r="E94" s="751" t="s">
        <v>1347</v>
      </c>
    </row>
    <row r="95" spans="1:5" x14ac:dyDescent="0.2">
      <c r="A95" s="748" t="s">
        <v>1439</v>
      </c>
      <c r="B95" s="748" t="s">
        <v>1445</v>
      </c>
      <c r="C95" s="752" t="s">
        <v>141</v>
      </c>
      <c r="D95" s="748"/>
      <c r="E95" s="751" t="s">
        <v>1347</v>
      </c>
    </row>
    <row r="96" spans="1:5" x14ac:dyDescent="0.2">
      <c r="A96" s="748" t="s">
        <v>207</v>
      </c>
      <c r="B96" s="748" t="s">
        <v>749</v>
      </c>
      <c r="C96" s="752" t="s">
        <v>141</v>
      </c>
      <c r="D96" s="748"/>
      <c r="E96" s="751" t="s">
        <v>1347</v>
      </c>
    </row>
    <row r="97" spans="1:6" x14ac:dyDescent="0.2">
      <c r="A97" s="748" t="s">
        <v>1858</v>
      </c>
      <c r="B97" s="748" t="s">
        <v>1859</v>
      </c>
      <c r="C97" s="752" t="s">
        <v>141</v>
      </c>
      <c r="D97" s="748"/>
      <c r="E97" s="751" t="s">
        <v>1347</v>
      </c>
    </row>
    <row r="98" spans="1:6" x14ac:dyDescent="0.2">
      <c r="A98" s="748" t="s">
        <v>751</v>
      </c>
      <c r="B98" s="748" t="s">
        <v>750</v>
      </c>
      <c r="C98" s="752" t="s">
        <v>141</v>
      </c>
      <c r="D98" s="748"/>
      <c r="E98" s="751" t="s">
        <v>1347</v>
      </c>
    </row>
    <row r="99" spans="1:6" x14ac:dyDescent="0.2">
      <c r="A99" s="750" t="s">
        <v>1962</v>
      </c>
      <c r="B99" s="748" t="s">
        <v>752</v>
      </c>
      <c r="C99" s="752" t="s">
        <v>141</v>
      </c>
      <c r="D99" s="748" t="s">
        <v>753</v>
      </c>
      <c r="E99" s="751" t="s">
        <v>1347</v>
      </c>
    </row>
    <row r="100" spans="1:6" x14ac:dyDescent="0.2">
      <c r="A100" s="748" t="s">
        <v>1489</v>
      </c>
      <c r="B100" s="748" t="s">
        <v>1104</v>
      </c>
      <c r="C100" s="752" t="s">
        <v>141</v>
      </c>
      <c r="E100" s="751" t="s">
        <v>1347</v>
      </c>
    </row>
    <row r="101" spans="1:6" x14ac:dyDescent="0.2">
      <c r="A101" s="748" t="s">
        <v>204</v>
      </c>
      <c r="B101" s="748" t="s">
        <v>754</v>
      </c>
      <c r="C101" s="752" t="s">
        <v>141</v>
      </c>
      <c r="D101" s="748"/>
      <c r="E101" s="751" t="s">
        <v>1347</v>
      </c>
    </row>
    <row r="102" spans="1:6" x14ac:dyDescent="0.2">
      <c r="A102" s="748" t="s">
        <v>755</v>
      </c>
      <c r="B102" s="748" t="s">
        <v>754</v>
      </c>
      <c r="C102" s="752" t="s">
        <v>141</v>
      </c>
      <c r="D102" s="748"/>
      <c r="E102" s="751" t="s">
        <v>1347</v>
      </c>
    </row>
    <row r="103" spans="1:6" x14ac:dyDescent="0.2">
      <c r="A103" s="748" t="s">
        <v>757</v>
      </c>
      <c r="B103" s="748" t="s">
        <v>756</v>
      </c>
      <c r="C103" s="752" t="s">
        <v>139</v>
      </c>
      <c r="D103" s="748"/>
      <c r="E103" s="751" t="s">
        <v>1347</v>
      </c>
    </row>
    <row r="104" spans="1:6" x14ac:dyDescent="0.2">
      <c r="A104" s="750" t="s">
        <v>1891</v>
      </c>
      <c r="B104" s="748" t="s">
        <v>1404</v>
      </c>
      <c r="C104" s="752" t="s">
        <v>139</v>
      </c>
      <c r="D104" s="748"/>
      <c r="E104" s="751" t="s">
        <v>1347</v>
      </c>
    </row>
    <row r="105" spans="1:6" x14ac:dyDescent="0.2">
      <c r="A105" s="748" t="s">
        <v>359</v>
      </c>
      <c r="B105" s="748" t="s">
        <v>758</v>
      </c>
      <c r="C105" s="752" t="s">
        <v>139</v>
      </c>
      <c r="D105" s="748" t="s">
        <v>359</v>
      </c>
      <c r="E105" s="751" t="s">
        <v>1347</v>
      </c>
    </row>
    <row r="106" spans="1:6" ht="14.25" customHeight="1" x14ac:dyDescent="0.2">
      <c r="A106" s="748" t="s">
        <v>1969</v>
      </c>
      <c r="B106" s="748" t="s">
        <v>758</v>
      </c>
      <c r="C106" s="752" t="s">
        <v>139</v>
      </c>
      <c r="D106" s="748"/>
      <c r="E106" s="751" t="s">
        <v>1347</v>
      </c>
      <c r="F106" s="748"/>
    </row>
    <row r="107" spans="1:6" x14ac:dyDescent="0.2">
      <c r="A107" s="748" t="s">
        <v>1172</v>
      </c>
      <c r="B107" s="748" t="s">
        <v>758</v>
      </c>
      <c r="C107" s="752" t="s">
        <v>139</v>
      </c>
      <c r="D107" s="748"/>
      <c r="E107" s="751" t="s">
        <v>1347</v>
      </c>
      <c r="F107" s="736"/>
    </row>
    <row r="108" spans="1:6" x14ac:dyDescent="0.2">
      <c r="A108" s="748" t="s">
        <v>211</v>
      </c>
      <c r="B108" s="748" t="s">
        <v>758</v>
      </c>
      <c r="C108" s="752" t="s">
        <v>139</v>
      </c>
      <c r="D108" s="748" t="s">
        <v>759</v>
      </c>
      <c r="E108" s="751" t="s">
        <v>1347</v>
      </c>
      <c r="F108" s="736"/>
    </row>
    <row r="109" spans="1:6" x14ac:dyDescent="0.2">
      <c r="A109" s="748" t="s">
        <v>117</v>
      </c>
      <c r="B109" s="748" t="s">
        <v>758</v>
      </c>
      <c r="C109" s="752" t="s">
        <v>139</v>
      </c>
      <c r="D109" s="748" t="s">
        <v>760</v>
      </c>
      <c r="E109" s="751" t="s">
        <v>1347</v>
      </c>
    </row>
    <row r="110" spans="1:6" ht="12.75" customHeight="1" x14ac:dyDescent="0.2">
      <c r="A110" s="748" t="s">
        <v>212</v>
      </c>
      <c r="B110" s="748" t="s">
        <v>761</v>
      </c>
      <c r="C110" s="752" t="s">
        <v>139</v>
      </c>
      <c r="D110" s="748" t="s">
        <v>759</v>
      </c>
      <c r="E110" s="751" t="s">
        <v>1347</v>
      </c>
      <c r="F110" s="748"/>
    </row>
    <row r="111" spans="1:6" x14ac:dyDescent="0.2">
      <c r="A111" s="748" t="s">
        <v>214</v>
      </c>
      <c r="B111" s="748" t="s">
        <v>762</v>
      </c>
      <c r="C111" s="752" t="s">
        <v>139</v>
      </c>
      <c r="D111" s="748" t="s">
        <v>759</v>
      </c>
      <c r="E111" s="751" t="s">
        <v>1347</v>
      </c>
      <c r="F111" s="748"/>
    </row>
    <row r="112" spans="1:6" x14ac:dyDescent="0.2">
      <c r="A112" s="748" t="s">
        <v>1968</v>
      </c>
      <c r="B112" s="748" t="s">
        <v>740</v>
      </c>
      <c r="C112" s="752" t="s">
        <v>139</v>
      </c>
      <c r="D112" s="748"/>
      <c r="E112" s="751" t="s">
        <v>1347</v>
      </c>
      <c r="F112" s="736"/>
    </row>
    <row r="113" spans="1:6" x14ac:dyDescent="0.2">
      <c r="A113" s="748" t="s">
        <v>1822</v>
      </c>
      <c r="B113" s="748" t="s">
        <v>1823</v>
      </c>
      <c r="C113" s="752" t="s">
        <v>139</v>
      </c>
      <c r="D113" s="748"/>
      <c r="E113" s="751" t="s">
        <v>1347</v>
      </c>
      <c r="F113" s="736"/>
    </row>
    <row r="114" spans="1:6" x14ac:dyDescent="0.2">
      <c r="A114" s="748" t="s">
        <v>1732</v>
      </c>
      <c r="B114" s="748" t="s">
        <v>1733</v>
      </c>
      <c r="C114" s="752" t="s">
        <v>139</v>
      </c>
      <c r="D114" s="748"/>
      <c r="E114" s="751" t="s">
        <v>1347</v>
      </c>
      <c r="F114" s="736"/>
    </row>
    <row r="115" spans="1:6" x14ac:dyDescent="0.2">
      <c r="A115" s="748" t="s">
        <v>1731</v>
      </c>
      <c r="B115" s="748" t="s">
        <v>1733</v>
      </c>
      <c r="C115" s="752" t="s">
        <v>139</v>
      </c>
      <c r="D115" s="748"/>
      <c r="E115" s="751" t="s">
        <v>1347</v>
      </c>
      <c r="F115" s="736"/>
    </row>
    <row r="116" spans="1:6" x14ac:dyDescent="0.2">
      <c r="A116" s="748" t="s">
        <v>1981</v>
      </c>
      <c r="B116" s="748" t="s">
        <v>1982</v>
      </c>
      <c r="C116" s="752" t="s">
        <v>139</v>
      </c>
      <c r="D116" s="748"/>
      <c r="E116" s="751" t="s">
        <v>1347</v>
      </c>
      <c r="F116" s="736"/>
    </row>
    <row r="117" spans="1:6" x14ac:dyDescent="0.2">
      <c r="A117" s="748" t="s">
        <v>24</v>
      </c>
      <c r="B117" s="748" t="s">
        <v>763</v>
      </c>
      <c r="C117" s="752" t="s">
        <v>139</v>
      </c>
      <c r="D117" s="748" t="s">
        <v>764</v>
      </c>
      <c r="E117" s="751" t="s">
        <v>1347</v>
      </c>
      <c r="F117" s="736"/>
    </row>
    <row r="118" spans="1:6" x14ac:dyDescent="0.2">
      <c r="A118" s="748" t="s">
        <v>213</v>
      </c>
      <c r="B118" s="748" t="s">
        <v>763</v>
      </c>
      <c r="C118" s="752" t="s">
        <v>139</v>
      </c>
      <c r="D118" s="748"/>
      <c r="E118" s="751" t="s">
        <v>1347</v>
      </c>
      <c r="F118" s="736"/>
    </row>
    <row r="119" spans="1:6" x14ac:dyDescent="0.2">
      <c r="A119" s="736" t="s">
        <v>1311</v>
      </c>
      <c r="B119" s="736" t="s">
        <v>765</v>
      </c>
      <c r="C119" s="754" t="s">
        <v>139</v>
      </c>
      <c r="D119" s="736"/>
      <c r="E119" s="751" t="s">
        <v>1347</v>
      </c>
      <c r="F119" s="736"/>
    </row>
    <row r="120" spans="1:6" x14ac:dyDescent="0.2">
      <c r="A120" s="748" t="s">
        <v>1257</v>
      </c>
      <c r="B120" s="748" t="s">
        <v>1448</v>
      </c>
      <c r="C120" s="752" t="s">
        <v>139</v>
      </c>
      <c r="D120" s="748"/>
      <c r="E120" s="751" t="s">
        <v>963</v>
      </c>
    </row>
    <row r="121" spans="1:6" x14ac:dyDescent="0.2">
      <c r="A121" s="758" t="s">
        <v>1856</v>
      </c>
      <c r="B121" s="748" t="s">
        <v>1857</v>
      </c>
      <c r="C121" s="752" t="s">
        <v>130</v>
      </c>
      <c r="D121" s="748"/>
      <c r="E121" s="751" t="s">
        <v>800</v>
      </c>
    </row>
    <row r="122" spans="1:6" ht="25.5" x14ac:dyDescent="0.2">
      <c r="A122" s="748" t="s">
        <v>216</v>
      </c>
      <c r="B122" s="748" t="s">
        <v>801</v>
      </c>
      <c r="C122" s="752" t="s">
        <v>130</v>
      </c>
      <c r="D122" s="748" t="s">
        <v>802</v>
      </c>
      <c r="E122" s="751" t="s">
        <v>800</v>
      </c>
    </row>
    <row r="123" spans="1:6" x14ac:dyDescent="0.2">
      <c r="A123" s="748" t="s">
        <v>804</v>
      </c>
      <c r="B123" s="748" t="s">
        <v>801</v>
      </c>
      <c r="C123" s="752" t="s">
        <v>130</v>
      </c>
      <c r="D123" s="748" t="s">
        <v>803</v>
      </c>
      <c r="E123" s="751" t="s">
        <v>800</v>
      </c>
    </row>
    <row r="124" spans="1:6" x14ac:dyDescent="0.2">
      <c r="A124" s="748" t="s">
        <v>1751</v>
      </c>
      <c r="B124" s="748" t="s">
        <v>1752</v>
      </c>
      <c r="C124" s="752" t="s">
        <v>130</v>
      </c>
      <c r="D124" s="748"/>
      <c r="E124" s="751" t="s">
        <v>800</v>
      </c>
    </row>
    <row r="125" spans="1:6" x14ac:dyDescent="0.2">
      <c r="A125" s="748" t="s">
        <v>909</v>
      </c>
      <c r="B125" s="748" t="s">
        <v>907</v>
      </c>
      <c r="C125" s="752" t="s">
        <v>146</v>
      </c>
      <c r="D125" s="748" t="s">
        <v>908</v>
      </c>
      <c r="E125" s="751" t="s">
        <v>893</v>
      </c>
    </row>
    <row r="126" spans="1:6" x14ac:dyDescent="0.2">
      <c r="A126" s="748" t="s">
        <v>807</v>
      </c>
      <c r="B126" s="748" t="s">
        <v>805</v>
      </c>
      <c r="C126" s="752" t="s">
        <v>131</v>
      </c>
      <c r="D126" s="748" t="s">
        <v>806</v>
      </c>
      <c r="E126" s="751" t="s">
        <v>800</v>
      </c>
    </row>
    <row r="127" spans="1:6" x14ac:dyDescent="0.2">
      <c r="A127" s="748" t="s">
        <v>1749</v>
      </c>
      <c r="B127" s="748" t="s">
        <v>1750</v>
      </c>
      <c r="C127" s="752" t="s">
        <v>131</v>
      </c>
      <c r="D127" s="748"/>
      <c r="E127" s="751" t="s">
        <v>800</v>
      </c>
    </row>
    <row r="128" spans="1:6" x14ac:dyDescent="0.2">
      <c r="A128" s="748" t="s">
        <v>1834</v>
      </c>
      <c r="B128" s="748" t="s">
        <v>808</v>
      </c>
      <c r="C128" s="752" t="s">
        <v>131</v>
      </c>
      <c r="D128" s="748"/>
      <c r="E128" s="751" t="s">
        <v>800</v>
      </c>
    </row>
    <row r="129" spans="1:5" x14ac:dyDescent="0.2">
      <c r="A129" s="748" t="s">
        <v>221</v>
      </c>
      <c r="B129" s="748" t="s">
        <v>808</v>
      </c>
      <c r="C129" s="752" t="s">
        <v>131</v>
      </c>
      <c r="D129" s="748" t="s">
        <v>809</v>
      </c>
      <c r="E129" s="751" t="s">
        <v>800</v>
      </c>
    </row>
    <row r="130" spans="1:5" x14ac:dyDescent="0.2">
      <c r="A130" s="748" t="s">
        <v>225</v>
      </c>
      <c r="B130" s="748" t="s">
        <v>808</v>
      </c>
      <c r="C130" s="752" t="s">
        <v>131</v>
      </c>
      <c r="D130" s="748" t="s">
        <v>810</v>
      </c>
      <c r="E130" s="751" t="s">
        <v>800</v>
      </c>
    </row>
    <row r="131" spans="1:5" x14ac:dyDescent="0.2">
      <c r="A131" s="748" t="s">
        <v>226</v>
      </c>
      <c r="B131" s="748" t="s">
        <v>808</v>
      </c>
      <c r="C131" s="752" t="s">
        <v>131</v>
      </c>
      <c r="D131" s="748" t="s">
        <v>811</v>
      </c>
      <c r="E131" s="751" t="s">
        <v>800</v>
      </c>
    </row>
    <row r="132" spans="1:5" x14ac:dyDescent="0.2">
      <c r="A132" s="748" t="s">
        <v>1943</v>
      </c>
      <c r="B132" s="748" t="s">
        <v>1945</v>
      </c>
      <c r="C132" s="752" t="s">
        <v>131</v>
      </c>
      <c r="D132" s="748"/>
      <c r="E132" s="751" t="s">
        <v>800</v>
      </c>
    </row>
    <row r="133" spans="1:5" x14ac:dyDescent="0.2">
      <c r="A133" s="748" t="s">
        <v>1900</v>
      </c>
      <c r="B133" s="748" t="s">
        <v>1901</v>
      </c>
      <c r="C133" s="752" t="s">
        <v>131</v>
      </c>
      <c r="D133" s="748"/>
      <c r="E133" s="751" t="s">
        <v>800</v>
      </c>
    </row>
    <row r="134" spans="1:5" ht="14.25" customHeight="1" x14ac:dyDescent="0.2">
      <c r="A134" s="748" t="s">
        <v>1922</v>
      </c>
      <c r="B134" s="748" t="s">
        <v>1923</v>
      </c>
      <c r="C134" s="752" t="s">
        <v>131</v>
      </c>
      <c r="D134" s="748"/>
      <c r="E134" s="751" t="s">
        <v>800</v>
      </c>
    </row>
    <row r="135" spans="1:5" x14ac:dyDescent="0.2">
      <c r="A135" s="748" t="s">
        <v>1783</v>
      </c>
      <c r="B135" s="748" t="s">
        <v>1784</v>
      </c>
      <c r="C135" s="752" t="s">
        <v>131</v>
      </c>
      <c r="D135" s="748"/>
      <c r="E135" s="751" t="s">
        <v>800</v>
      </c>
    </row>
    <row r="136" spans="1:5" x14ac:dyDescent="0.2">
      <c r="A136" s="748" t="s">
        <v>813</v>
      </c>
      <c r="B136" s="748" t="s">
        <v>812</v>
      </c>
      <c r="C136" s="752" t="s">
        <v>131</v>
      </c>
      <c r="D136" s="748" t="s">
        <v>806</v>
      </c>
      <c r="E136" s="751" t="s">
        <v>800</v>
      </c>
    </row>
    <row r="137" spans="1:5" x14ac:dyDescent="0.2">
      <c r="A137" s="748" t="s">
        <v>815</v>
      </c>
      <c r="B137" s="748" t="s">
        <v>814</v>
      </c>
      <c r="C137" s="752" t="s">
        <v>131</v>
      </c>
      <c r="D137" s="748" t="s">
        <v>806</v>
      </c>
      <c r="E137" s="751" t="s">
        <v>800</v>
      </c>
    </row>
    <row r="138" spans="1:5" x14ac:dyDescent="0.2">
      <c r="A138" s="748" t="s">
        <v>818</v>
      </c>
      <c r="B138" s="748" t="s">
        <v>816</v>
      </c>
      <c r="C138" s="752" t="s">
        <v>131</v>
      </c>
      <c r="D138" s="748" t="s">
        <v>817</v>
      </c>
      <c r="E138" s="751" t="s">
        <v>800</v>
      </c>
    </row>
    <row r="139" spans="1:5" x14ac:dyDescent="0.2">
      <c r="A139" s="748" t="s">
        <v>242</v>
      </c>
      <c r="B139" s="748" t="s">
        <v>819</v>
      </c>
      <c r="C139" s="752" t="s">
        <v>131</v>
      </c>
      <c r="D139" s="748" t="s">
        <v>820</v>
      </c>
      <c r="E139" s="751" t="s">
        <v>800</v>
      </c>
    </row>
    <row r="140" spans="1:5" x14ac:dyDescent="0.2">
      <c r="A140" s="748" t="s">
        <v>1669</v>
      </c>
      <c r="B140" s="748" t="s">
        <v>1670</v>
      </c>
      <c r="C140" s="752" t="s">
        <v>131</v>
      </c>
      <c r="D140" s="748"/>
      <c r="E140" s="751" t="s">
        <v>800</v>
      </c>
    </row>
    <row r="141" spans="1:5" ht="15.6" customHeight="1" x14ac:dyDescent="0.2">
      <c r="A141" s="748" t="s">
        <v>1519</v>
      </c>
      <c r="B141" s="748" t="s">
        <v>1527</v>
      </c>
      <c r="C141" s="752" t="s">
        <v>131</v>
      </c>
      <c r="D141" s="748"/>
      <c r="E141" s="751" t="s">
        <v>800</v>
      </c>
    </row>
    <row r="142" spans="1:5" ht="15" customHeight="1" x14ac:dyDescent="0.2">
      <c r="A142" s="748" t="s">
        <v>1206</v>
      </c>
      <c r="B142" s="748" t="s">
        <v>821</v>
      </c>
      <c r="C142" s="752" t="s">
        <v>131</v>
      </c>
      <c r="D142" s="748" t="s">
        <v>822</v>
      </c>
      <c r="E142" s="751" t="s">
        <v>800</v>
      </c>
    </row>
    <row r="143" spans="1:5" x14ac:dyDescent="0.2">
      <c r="A143" s="748" t="s">
        <v>239</v>
      </c>
      <c r="B143" s="748" t="s">
        <v>805</v>
      </c>
      <c r="C143" s="752" t="s">
        <v>159</v>
      </c>
      <c r="D143" s="748" t="s">
        <v>862</v>
      </c>
      <c r="E143" s="751" t="s">
        <v>861</v>
      </c>
    </row>
    <row r="144" spans="1:5" x14ac:dyDescent="0.2">
      <c r="A144" s="748" t="s">
        <v>1864</v>
      </c>
      <c r="B144" s="748" t="s">
        <v>773</v>
      </c>
      <c r="C144" s="752" t="s">
        <v>159</v>
      </c>
      <c r="D144" s="748"/>
      <c r="E144" s="751" t="s">
        <v>861</v>
      </c>
    </row>
    <row r="145" spans="1:5" x14ac:dyDescent="0.2">
      <c r="A145" s="737" t="s">
        <v>1618</v>
      </c>
      <c r="B145" s="737" t="s">
        <v>1626</v>
      </c>
      <c r="C145" s="755" t="s">
        <v>159</v>
      </c>
      <c r="E145" s="751" t="s">
        <v>861</v>
      </c>
    </row>
    <row r="146" spans="1:5" x14ac:dyDescent="0.2">
      <c r="A146" s="748" t="s">
        <v>2013</v>
      </c>
      <c r="B146" s="748" t="s">
        <v>2014</v>
      </c>
      <c r="C146" s="752" t="s">
        <v>159</v>
      </c>
      <c r="D146" s="748"/>
      <c r="E146" s="751" t="s">
        <v>861</v>
      </c>
    </row>
    <row r="147" spans="1:5" ht="15.6" customHeight="1" x14ac:dyDescent="0.2">
      <c r="A147" s="748" t="s">
        <v>236</v>
      </c>
      <c r="B147" s="748" t="s">
        <v>863</v>
      </c>
      <c r="C147" s="752" t="s">
        <v>159</v>
      </c>
      <c r="D147" s="748" t="s">
        <v>862</v>
      </c>
      <c r="E147" s="751" t="s">
        <v>861</v>
      </c>
    </row>
    <row r="148" spans="1:5" ht="15.6" customHeight="1" x14ac:dyDescent="0.2">
      <c r="A148" s="737" t="s">
        <v>1628</v>
      </c>
      <c r="B148" s="737" t="s">
        <v>1629</v>
      </c>
      <c r="C148" s="755" t="s">
        <v>159</v>
      </c>
      <c r="E148" s="751" t="s">
        <v>861</v>
      </c>
    </row>
    <row r="149" spans="1:5" ht="14.45" customHeight="1" x14ac:dyDescent="0.2">
      <c r="A149" s="750" t="s">
        <v>1881</v>
      </c>
      <c r="B149" s="748" t="s">
        <v>864</v>
      </c>
      <c r="C149" s="752" t="s">
        <v>159</v>
      </c>
      <c r="D149" s="748" t="s">
        <v>862</v>
      </c>
      <c r="E149" s="751" t="s">
        <v>861</v>
      </c>
    </row>
    <row r="150" spans="1:5" ht="14.45" customHeight="1" x14ac:dyDescent="0.2">
      <c r="A150" s="748" t="s">
        <v>234</v>
      </c>
      <c r="B150" s="748" t="s">
        <v>865</v>
      </c>
      <c r="C150" s="752" t="s">
        <v>159</v>
      </c>
      <c r="D150" s="748" t="s">
        <v>866</v>
      </c>
      <c r="E150" s="751" t="s">
        <v>861</v>
      </c>
    </row>
    <row r="151" spans="1:5" x14ac:dyDescent="0.2">
      <c r="A151" s="748" t="s">
        <v>867</v>
      </c>
      <c r="B151" s="748" t="s">
        <v>865</v>
      </c>
      <c r="C151" s="752" t="s">
        <v>159</v>
      </c>
      <c r="D151" s="748" t="s">
        <v>866</v>
      </c>
      <c r="E151" s="751" t="s">
        <v>861</v>
      </c>
    </row>
    <row r="152" spans="1:5" x14ac:dyDescent="0.2">
      <c r="A152" s="748" t="s">
        <v>235</v>
      </c>
      <c r="B152" s="748" t="s">
        <v>865</v>
      </c>
      <c r="C152" s="752" t="s">
        <v>159</v>
      </c>
      <c r="D152" s="748" t="s">
        <v>866</v>
      </c>
      <c r="E152" s="751" t="s">
        <v>861</v>
      </c>
    </row>
    <row r="153" spans="1:5" x14ac:dyDescent="0.2">
      <c r="A153" s="748" t="s">
        <v>237</v>
      </c>
      <c r="B153" s="748" t="s">
        <v>865</v>
      </c>
      <c r="C153" s="752" t="s">
        <v>159</v>
      </c>
      <c r="D153" s="748" t="s">
        <v>862</v>
      </c>
      <c r="E153" s="751" t="s">
        <v>861</v>
      </c>
    </row>
    <row r="154" spans="1:5" ht="14.45" customHeight="1" x14ac:dyDescent="0.2">
      <c r="A154" s="748" t="s">
        <v>869</v>
      </c>
      <c r="B154" s="748" t="s">
        <v>865</v>
      </c>
      <c r="C154" s="752" t="s">
        <v>159</v>
      </c>
      <c r="D154" s="748" t="s">
        <v>868</v>
      </c>
      <c r="E154" s="751" t="s">
        <v>861</v>
      </c>
    </row>
    <row r="155" spans="1:5" x14ac:dyDescent="0.2">
      <c r="A155" s="748" t="s">
        <v>230</v>
      </c>
      <c r="B155" s="748" t="s">
        <v>865</v>
      </c>
      <c r="C155" s="752" t="s">
        <v>159</v>
      </c>
      <c r="D155" s="748" t="s">
        <v>736</v>
      </c>
      <c r="E155" s="751" t="s">
        <v>861</v>
      </c>
    </row>
    <row r="156" spans="1:5" ht="14.45" customHeight="1" x14ac:dyDescent="0.2">
      <c r="A156" s="748" t="s">
        <v>229</v>
      </c>
      <c r="B156" s="748" t="s">
        <v>865</v>
      </c>
      <c r="C156" s="752" t="s">
        <v>159</v>
      </c>
      <c r="D156" s="748" t="s">
        <v>736</v>
      </c>
      <c r="E156" s="751" t="s">
        <v>861</v>
      </c>
    </row>
    <row r="157" spans="1:5" x14ac:dyDescent="0.2">
      <c r="A157" s="748" t="s">
        <v>241</v>
      </c>
      <c r="B157" s="748" t="s">
        <v>870</v>
      </c>
      <c r="C157" s="752" t="s">
        <v>159</v>
      </c>
      <c r="D157" s="748" t="s">
        <v>862</v>
      </c>
      <c r="E157" s="751" t="s">
        <v>861</v>
      </c>
    </row>
    <row r="158" spans="1:5" x14ac:dyDescent="0.2">
      <c r="A158" s="748" t="s">
        <v>375</v>
      </c>
      <c r="B158" s="748" t="s">
        <v>871</v>
      </c>
      <c r="C158" s="752" t="s">
        <v>159</v>
      </c>
      <c r="D158" s="748"/>
      <c r="E158" s="751" t="s">
        <v>861</v>
      </c>
    </row>
    <row r="159" spans="1:5" x14ac:dyDescent="0.2">
      <c r="A159" s="748" t="s">
        <v>240</v>
      </c>
      <c r="B159" s="748" t="s">
        <v>872</v>
      </c>
      <c r="C159" s="752" t="s">
        <v>159</v>
      </c>
      <c r="D159" s="748" t="s">
        <v>862</v>
      </c>
      <c r="E159" s="751" t="s">
        <v>861</v>
      </c>
    </row>
    <row r="160" spans="1:5" ht="14.45" customHeight="1" x14ac:dyDescent="0.2">
      <c r="A160" s="748" t="s">
        <v>875</v>
      </c>
      <c r="B160" s="748" t="s">
        <v>873</v>
      </c>
      <c r="C160" s="752" t="s">
        <v>159</v>
      </c>
      <c r="D160" s="748" t="s">
        <v>874</v>
      </c>
      <c r="E160" s="751" t="s">
        <v>861</v>
      </c>
    </row>
    <row r="161" spans="1:6" ht="14.45" customHeight="1" x14ac:dyDescent="0.2">
      <c r="A161" s="748" t="s">
        <v>1174</v>
      </c>
      <c r="B161" s="748" t="s">
        <v>1175</v>
      </c>
      <c r="C161" s="752" t="s">
        <v>1176</v>
      </c>
      <c r="D161" s="748"/>
      <c r="E161" s="751" t="s">
        <v>800</v>
      </c>
    </row>
    <row r="162" spans="1:6" ht="14.45" customHeight="1" x14ac:dyDescent="0.2">
      <c r="A162" s="748" t="s">
        <v>1619</v>
      </c>
      <c r="B162" s="748" t="s">
        <v>1627</v>
      </c>
      <c r="C162" s="752" t="s">
        <v>1182</v>
      </c>
      <c r="D162" s="748"/>
      <c r="E162" s="751" t="s">
        <v>800</v>
      </c>
    </row>
    <row r="163" spans="1:6" x14ac:dyDescent="0.2">
      <c r="A163" s="748" t="s">
        <v>2008</v>
      </c>
      <c r="B163" s="748" t="s">
        <v>2009</v>
      </c>
      <c r="C163" s="752" t="s">
        <v>1182</v>
      </c>
      <c r="D163" s="748"/>
      <c r="E163" s="751" t="s">
        <v>800</v>
      </c>
    </row>
    <row r="164" spans="1:6" x14ac:dyDescent="0.2">
      <c r="A164" s="748" t="s">
        <v>878</v>
      </c>
      <c r="B164" s="748" t="s">
        <v>876</v>
      </c>
      <c r="C164" s="752" t="s">
        <v>166</v>
      </c>
      <c r="D164" s="748" t="s">
        <v>877</v>
      </c>
      <c r="E164" s="751" t="s">
        <v>861</v>
      </c>
    </row>
    <row r="165" spans="1:6" x14ac:dyDescent="0.2">
      <c r="A165" s="748" t="s">
        <v>1754</v>
      </c>
      <c r="B165" s="737" t="s">
        <v>1757</v>
      </c>
      <c r="C165" s="755" t="s">
        <v>166</v>
      </c>
      <c r="E165" s="751" t="s">
        <v>861</v>
      </c>
    </row>
    <row r="166" spans="1:6" ht="13.15" customHeight="1" x14ac:dyDescent="0.2">
      <c r="A166" s="748" t="s">
        <v>1756</v>
      </c>
      <c r="B166" s="737" t="s">
        <v>1759</v>
      </c>
      <c r="C166" s="755" t="s">
        <v>166</v>
      </c>
      <c r="E166" s="751" t="s">
        <v>861</v>
      </c>
    </row>
    <row r="167" spans="1:6" x14ac:dyDescent="0.2">
      <c r="A167" s="748" t="s">
        <v>1645</v>
      </c>
      <c r="B167" s="748" t="s">
        <v>1646</v>
      </c>
      <c r="C167" s="752" t="s">
        <v>166</v>
      </c>
      <c r="D167" s="748"/>
      <c r="E167" s="751" t="s">
        <v>861</v>
      </c>
      <c r="F167" s="736"/>
    </row>
    <row r="168" spans="1:6" x14ac:dyDescent="0.2">
      <c r="A168" s="748" t="s">
        <v>1729</v>
      </c>
      <c r="B168" s="737" t="s">
        <v>879</v>
      </c>
      <c r="C168" s="755" t="s">
        <v>166</v>
      </c>
      <c r="E168" s="751" t="s">
        <v>861</v>
      </c>
    </row>
    <row r="169" spans="1:6" x14ac:dyDescent="0.2">
      <c r="A169" s="736" t="s">
        <v>1422</v>
      </c>
      <c r="B169" s="736" t="s">
        <v>879</v>
      </c>
      <c r="C169" s="754" t="s">
        <v>166</v>
      </c>
      <c r="D169" s="736"/>
      <c r="E169" s="751" t="s">
        <v>861</v>
      </c>
    </row>
    <row r="170" spans="1:6" ht="15.6" customHeight="1" x14ac:dyDescent="0.2">
      <c r="A170" s="748" t="s">
        <v>881</v>
      </c>
      <c r="B170" s="748" t="s">
        <v>879</v>
      </c>
      <c r="C170" s="752" t="s">
        <v>166</v>
      </c>
      <c r="D170" s="748" t="s">
        <v>880</v>
      </c>
      <c r="E170" s="751" t="s">
        <v>861</v>
      </c>
    </row>
    <row r="171" spans="1:6" x14ac:dyDescent="0.2">
      <c r="A171" s="748" t="s">
        <v>1755</v>
      </c>
      <c r="B171" s="737" t="s">
        <v>879</v>
      </c>
      <c r="C171" s="755" t="s">
        <v>166</v>
      </c>
      <c r="E171" s="751" t="s">
        <v>861</v>
      </c>
    </row>
    <row r="172" spans="1:6" x14ac:dyDescent="0.2">
      <c r="A172" s="748" t="s">
        <v>1106</v>
      </c>
      <c r="B172" s="748" t="s">
        <v>1105</v>
      </c>
      <c r="C172" s="752" t="s">
        <v>166</v>
      </c>
      <c r="D172" s="759"/>
      <c r="E172" s="751" t="s">
        <v>1103</v>
      </c>
    </row>
    <row r="173" spans="1:6" x14ac:dyDescent="0.2">
      <c r="A173" s="748" t="s">
        <v>1753</v>
      </c>
      <c r="B173" s="737" t="s">
        <v>1758</v>
      </c>
      <c r="C173" s="755" t="s">
        <v>166</v>
      </c>
      <c r="E173" s="751" t="s">
        <v>861</v>
      </c>
    </row>
    <row r="174" spans="1:6" x14ac:dyDescent="0.2">
      <c r="A174" s="748" t="s">
        <v>1409</v>
      </c>
      <c r="B174" s="748" t="s">
        <v>1446</v>
      </c>
      <c r="C174" s="752" t="s">
        <v>165</v>
      </c>
      <c r="D174" s="748"/>
      <c r="E174" s="751" t="s">
        <v>940</v>
      </c>
    </row>
    <row r="175" spans="1:6" x14ac:dyDescent="0.2">
      <c r="A175" s="748" t="s">
        <v>1413</v>
      </c>
      <c r="B175" s="748" t="s">
        <v>1446</v>
      </c>
      <c r="C175" s="752" t="s">
        <v>165</v>
      </c>
      <c r="D175" s="748"/>
      <c r="E175" s="751" t="s">
        <v>940</v>
      </c>
    </row>
    <row r="176" spans="1:6" x14ac:dyDescent="0.2">
      <c r="A176" s="748" t="s">
        <v>1821</v>
      </c>
      <c r="B176" s="748" t="s">
        <v>870</v>
      </c>
      <c r="C176" s="752" t="s">
        <v>165</v>
      </c>
      <c r="D176" s="748"/>
      <c r="E176" s="751" t="s">
        <v>940</v>
      </c>
    </row>
    <row r="177" spans="1:5" ht="16.149999999999999" customHeight="1" x14ac:dyDescent="0.2">
      <c r="A177" s="748" t="s">
        <v>244</v>
      </c>
      <c r="B177" s="748" t="s">
        <v>941</v>
      </c>
      <c r="C177" s="752" t="s">
        <v>165</v>
      </c>
      <c r="D177" s="748" t="s">
        <v>942</v>
      </c>
      <c r="E177" s="751" t="s">
        <v>940</v>
      </c>
    </row>
    <row r="178" spans="1:5" x14ac:dyDescent="0.2">
      <c r="A178" s="748" t="s">
        <v>2019</v>
      </c>
      <c r="B178" s="748" t="s">
        <v>941</v>
      </c>
      <c r="C178" s="752" t="s">
        <v>165</v>
      </c>
      <c r="D178" s="748"/>
      <c r="E178" s="751" t="s">
        <v>940</v>
      </c>
    </row>
    <row r="179" spans="1:5" ht="13.5" customHeight="1" x14ac:dyDescent="0.2">
      <c r="A179" s="748" t="s">
        <v>1744</v>
      </c>
      <c r="B179" s="748" t="s">
        <v>943</v>
      </c>
      <c r="C179" s="752" t="s">
        <v>165</v>
      </c>
      <c r="E179" s="751" t="s">
        <v>940</v>
      </c>
    </row>
    <row r="180" spans="1:5" x14ac:dyDescent="0.2">
      <c r="A180" s="748" t="s">
        <v>1030</v>
      </c>
      <c r="B180" s="748" t="s">
        <v>1029</v>
      </c>
      <c r="C180" s="752" t="s">
        <v>132</v>
      </c>
      <c r="D180" s="748" t="s">
        <v>96</v>
      </c>
      <c r="E180" s="751" t="s">
        <v>1022</v>
      </c>
    </row>
    <row r="181" spans="1:5" x14ac:dyDescent="0.2">
      <c r="A181" s="748" t="s">
        <v>38</v>
      </c>
      <c r="B181" s="748" t="s">
        <v>1029</v>
      </c>
      <c r="C181" s="752" t="s">
        <v>132</v>
      </c>
      <c r="D181" s="748" t="s">
        <v>1031</v>
      </c>
      <c r="E181" s="751" t="s">
        <v>1022</v>
      </c>
    </row>
    <row r="182" spans="1:5" x14ac:dyDescent="0.2">
      <c r="A182" s="748" t="s">
        <v>1033</v>
      </c>
      <c r="B182" s="748" t="s">
        <v>1029</v>
      </c>
      <c r="C182" s="752" t="s">
        <v>132</v>
      </c>
      <c r="D182" s="748" t="s">
        <v>1032</v>
      </c>
      <c r="E182" s="751" t="s">
        <v>1022</v>
      </c>
    </row>
    <row r="183" spans="1:5" x14ac:dyDescent="0.2">
      <c r="A183" s="748" t="s">
        <v>247</v>
      </c>
      <c r="B183" s="748" t="s">
        <v>1029</v>
      </c>
      <c r="C183" s="752" t="s">
        <v>132</v>
      </c>
      <c r="D183" s="748" t="s">
        <v>1032</v>
      </c>
      <c r="E183" s="751" t="s">
        <v>1022</v>
      </c>
    </row>
    <row r="184" spans="1:5" x14ac:dyDescent="0.2">
      <c r="A184" s="748" t="s">
        <v>252</v>
      </c>
      <c r="B184" s="748" t="s">
        <v>1029</v>
      </c>
      <c r="C184" s="752" t="s">
        <v>132</v>
      </c>
      <c r="D184" s="748" t="s">
        <v>1034</v>
      </c>
      <c r="E184" s="751" t="s">
        <v>1022</v>
      </c>
    </row>
    <row r="185" spans="1:5" ht="15" customHeight="1" x14ac:dyDescent="0.2">
      <c r="A185" s="748" t="s">
        <v>1037</v>
      </c>
      <c r="B185" s="748" t="s">
        <v>1035</v>
      </c>
      <c r="C185" s="752" t="s">
        <v>132</v>
      </c>
      <c r="D185" s="748" t="s">
        <v>1036</v>
      </c>
      <c r="E185" s="751" t="s">
        <v>1022</v>
      </c>
    </row>
    <row r="186" spans="1:5" ht="14.45" customHeight="1" x14ac:dyDescent="0.2">
      <c r="A186" s="750" t="s">
        <v>1912</v>
      </c>
      <c r="B186" s="750" t="s">
        <v>1914</v>
      </c>
      <c r="C186" s="752" t="s">
        <v>132</v>
      </c>
      <c r="D186" s="748"/>
      <c r="E186" s="751" t="s">
        <v>1022</v>
      </c>
    </row>
    <row r="187" spans="1:5" ht="14.45" customHeight="1" x14ac:dyDescent="0.2">
      <c r="A187" s="748" t="s">
        <v>1644</v>
      </c>
      <c r="B187" s="748" t="s">
        <v>702</v>
      </c>
      <c r="C187" s="752" t="s">
        <v>132</v>
      </c>
      <c r="D187" s="748"/>
      <c r="E187" s="751" t="s">
        <v>1022</v>
      </c>
    </row>
    <row r="188" spans="1:5" ht="14.45" customHeight="1" x14ac:dyDescent="0.2">
      <c r="A188" s="748" t="s">
        <v>248</v>
      </c>
      <c r="B188" s="748" t="s">
        <v>1038</v>
      </c>
      <c r="C188" s="752" t="s">
        <v>132</v>
      </c>
      <c r="D188" s="748" t="s">
        <v>1039</v>
      </c>
      <c r="E188" s="751" t="s">
        <v>1022</v>
      </c>
    </row>
    <row r="189" spans="1:5" x14ac:dyDescent="0.2">
      <c r="A189" s="750" t="s">
        <v>1911</v>
      </c>
      <c r="B189" s="750" t="s">
        <v>1038</v>
      </c>
      <c r="C189" s="752" t="s">
        <v>132</v>
      </c>
      <c r="D189" s="748"/>
      <c r="E189" s="751" t="s">
        <v>1022</v>
      </c>
    </row>
    <row r="190" spans="1:5" ht="14.45" customHeight="1" x14ac:dyDescent="0.2">
      <c r="A190" s="748" t="s">
        <v>1924</v>
      </c>
      <c r="B190" s="750" t="s">
        <v>1925</v>
      </c>
      <c r="C190" s="749" t="s">
        <v>132</v>
      </c>
      <c r="D190" s="748"/>
      <c r="E190" s="751" t="s">
        <v>1022</v>
      </c>
    </row>
    <row r="191" spans="1:5" ht="16.149999999999999" customHeight="1" x14ac:dyDescent="0.2">
      <c r="A191" s="748" t="s">
        <v>369</v>
      </c>
      <c r="B191" s="748" t="s">
        <v>1040</v>
      </c>
      <c r="C191" s="752" t="s">
        <v>132</v>
      </c>
      <c r="D191" s="748"/>
      <c r="E191" s="751" t="s">
        <v>1022</v>
      </c>
    </row>
    <row r="192" spans="1:5" ht="15.6" customHeight="1" x14ac:dyDescent="0.2">
      <c r="A192" s="748" t="s">
        <v>1042</v>
      </c>
      <c r="B192" s="748" t="s">
        <v>1041</v>
      </c>
      <c r="C192" s="752" t="s">
        <v>132</v>
      </c>
      <c r="D192" s="748" t="s">
        <v>1039</v>
      </c>
      <c r="E192" s="751" t="s">
        <v>1022</v>
      </c>
    </row>
    <row r="193" spans="1:5" ht="15.6" customHeight="1" x14ac:dyDescent="0.2">
      <c r="A193" s="748" t="s">
        <v>253</v>
      </c>
      <c r="B193" s="748" t="s">
        <v>1043</v>
      </c>
      <c r="C193" s="752" t="s">
        <v>132</v>
      </c>
      <c r="D193" s="748" t="s">
        <v>1044</v>
      </c>
      <c r="E193" s="751" t="s">
        <v>1022</v>
      </c>
    </row>
    <row r="194" spans="1:5" ht="14.45" customHeight="1" x14ac:dyDescent="0.2">
      <c r="A194" s="748" t="s">
        <v>39</v>
      </c>
      <c r="B194" s="748" t="s">
        <v>819</v>
      </c>
      <c r="C194" s="752" t="s">
        <v>132</v>
      </c>
      <c r="D194" s="748" t="s">
        <v>1045</v>
      </c>
      <c r="E194" s="751" t="s">
        <v>1022</v>
      </c>
    </row>
    <row r="195" spans="1:5" ht="15" customHeight="1" x14ac:dyDescent="0.2">
      <c r="A195" s="748" t="s">
        <v>1048</v>
      </c>
      <c r="B195" s="748" t="s">
        <v>1046</v>
      </c>
      <c r="C195" s="752" t="s">
        <v>132</v>
      </c>
      <c r="D195" s="748" t="s">
        <v>1047</v>
      </c>
      <c r="E195" s="751" t="s">
        <v>1022</v>
      </c>
    </row>
    <row r="196" spans="1:5" x14ac:dyDescent="0.2">
      <c r="A196" s="748" t="s">
        <v>735</v>
      </c>
      <c r="B196" s="748" t="s">
        <v>733</v>
      </c>
      <c r="C196" s="752" t="s">
        <v>127</v>
      </c>
      <c r="D196" s="748" t="s">
        <v>734</v>
      </c>
      <c r="E196" s="751" t="s">
        <v>834</v>
      </c>
    </row>
    <row r="197" spans="1:5" x14ac:dyDescent="0.2">
      <c r="A197" s="748" t="s">
        <v>1980</v>
      </c>
      <c r="B197" s="748" t="s">
        <v>733</v>
      </c>
      <c r="C197" s="752" t="s">
        <v>127</v>
      </c>
      <c r="D197" s="748"/>
      <c r="E197" s="751" t="s">
        <v>834</v>
      </c>
    </row>
    <row r="198" spans="1:5" ht="14.45" customHeight="1" x14ac:dyDescent="0.2">
      <c r="A198" s="748" t="s">
        <v>1844</v>
      </c>
      <c r="B198" s="748" t="s">
        <v>733</v>
      </c>
      <c r="C198" s="752" t="s">
        <v>127</v>
      </c>
      <c r="D198" s="748"/>
      <c r="E198" s="751" t="s">
        <v>834</v>
      </c>
    </row>
    <row r="199" spans="1:5" ht="15.6" customHeight="1" x14ac:dyDescent="0.2">
      <c r="A199" s="748" t="s">
        <v>256</v>
      </c>
      <c r="B199" s="748" t="s">
        <v>733</v>
      </c>
      <c r="C199" s="752" t="s">
        <v>127</v>
      </c>
      <c r="D199" s="748"/>
      <c r="E199" s="751" t="s">
        <v>834</v>
      </c>
    </row>
    <row r="200" spans="1:5" ht="16.149999999999999" customHeight="1" x14ac:dyDescent="0.2">
      <c r="A200" s="748" t="s">
        <v>737</v>
      </c>
      <c r="B200" s="748" t="s">
        <v>733</v>
      </c>
      <c r="C200" s="752" t="s">
        <v>127</v>
      </c>
      <c r="D200" s="748" t="s">
        <v>734</v>
      </c>
      <c r="E200" s="751" t="s">
        <v>834</v>
      </c>
    </row>
    <row r="201" spans="1:5" ht="15" customHeight="1" x14ac:dyDescent="0.2">
      <c r="A201" s="748" t="s">
        <v>739</v>
      </c>
      <c r="B201" s="748" t="s">
        <v>733</v>
      </c>
      <c r="C201" s="752" t="s">
        <v>127</v>
      </c>
      <c r="D201" s="748" t="s">
        <v>738</v>
      </c>
      <c r="E201" s="751" t="s">
        <v>834</v>
      </c>
    </row>
    <row r="202" spans="1:5" ht="14.25" customHeight="1" x14ac:dyDescent="0.2">
      <c r="A202" s="748" t="s">
        <v>1937</v>
      </c>
      <c r="B202" s="748" t="s">
        <v>1938</v>
      </c>
      <c r="C202" s="752" t="s">
        <v>127</v>
      </c>
      <c r="D202" s="748"/>
      <c r="E202" s="751" t="s">
        <v>834</v>
      </c>
    </row>
    <row r="203" spans="1:5" ht="15.6" customHeight="1" x14ac:dyDescent="0.2">
      <c r="A203" s="748" t="s">
        <v>1256</v>
      </c>
      <c r="B203" s="748" t="s">
        <v>1278</v>
      </c>
      <c r="C203" s="752" t="s">
        <v>127</v>
      </c>
      <c r="D203" s="748"/>
      <c r="E203" s="751" t="s">
        <v>834</v>
      </c>
    </row>
    <row r="204" spans="1:5" x14ac:dyDescent="0.2">
      <c r="A204" s="748" t="s">
        <v>257</v>
      </c>
      <c r="B204" s="748" t="s">
        <v>1049</v>
      </c>
      <c r="C204" s="752" t="s">
        <v>133</v>
      </c>
      <c r="D204" s="748" t="s">
        <v>1050</v>
      </c>
      <c r="E204" s="751" t="s">
        <v>1022</v>
      </c>
    </row>
    <row r="205" spans="1:5" ht="25.5" x14ac:dyDescent="0.2">
      <c r="A205" s="748" t="s">
        <v>36</v>
      </c>
      <c r="B205" s="748" t="s">
        <v>1051</v>
      </c>
      <c r="C205" s="752" t="s">
        <v>133</v>
      </c>
      <c r="D205" s="748" t="s">
        <v>1052</v>
      </c>
      <c r="E205" s="751" t="s">
        <v>1022</v>
      </c>
    </row>
    <row r="206" spans="1:5" ht="15" customHeight="1" x14ac:dyDescent="0.2">
      <c r="A206" s="748" t="s">
        <v>258</v>
      </c>
      <c r="B206" s="748" t="s">
        <v>1053</v>
      </c>
      <c r="C206" s="752" t="s">
        <v>133</v>
      </c>
      <c r="D206" s="748" t="s">
        <v>1054</v>
      </c>
      <c r="E206" s="751" t="s">
        <v>1022</v>
      </c>
    </row>
    <row r="207" spans="1:5" ht="13.5" customHeight="1" x14ac:dyDescent="0.2">
      <c r="A207" s="748" t="s">
        <v>33</v>
      </c>
      <c r="B207" s="748" t="s">
        <v>1055</v>
      </c>
      <c r="C207" s="752" t="s">
        <v>133</v>
      </c>
      <c r="D207" s="748" t="s">
        <v>1056</v>
      </c>
      <c r="E207" s="751" t="s">
        <v>1022</v>
      </c>
    </row>
    <row r="208" spans="1:5" ht="13.5" customHeight="1" x14ac:dyDescent="0.2">
      <c r="A208" s="737" t="s">
        <v>1607</v>
      </c>
      <c r="B208" s="737" t="s">
        <v>789</v>
      </c>
      <c r="C208" s="755" t="s">
        <v>140</v>
      </c>
      <c r="E208" s="751" t="s">
        <v>788</v>
      </c>
    </row>
    <row r="209" spans="1:5" x14ac:dyDescent="0.2">
      <c r="A209" s="748" t="s">
        <v>118</v>
      </c>
      <c r="B209" s="748" t="s">
        <v>789</v>
      </c>
      <c r="C209" s="752" t="s">
        <v>140</v>
      </c>
      <c r="D209" s="748" t="s">
        <v>790</v>
      </c>
      <c r="E209" s="751" t="s">
        <v>788</v>
      </c>
    </row>
    <row r="210" spans="1:5" x14ac:dyDescent="0.2">
      <c r="A210" s="748" t="s">
        <v>1941</v>
      </c>
      <c r="B210" s="737" t="s">
        <v>1942</v>
      </c>
      <c r="C210" s="755" t="s">
        <v>140</v>
      </c>
      <c r="E210" s="751" t="s">
        <v>788</v>
      </c>
    </row>
    <row r="211" spans="1:5" x14ac:dyDescent="0.2">
      <c r="A211" s="748" t="s">
        <v>792</v>
      </c>
      <c r="B211" s="748" t="s">
        <v>791</v>
      </c>
      <c r="C211" s="752" t="s">
        <v>140</v>
      </c>
      <c r="D211" s="748"/>
      <c r="E211" s="751" t="s">
        <v>788</v>
      </c>
    </row>
    <row r="212" spans="1:5" ht="14.25" customHeight="1" x14ac:dyDescent="0.2">
      <c r="A212" s="748" t="s">
        <v>47</v>
      </c>
      <c r="B212" s="748" t="s">
        <v>791</v>
      </c>
      <c r="C212" s="752" t="s">
        <v>140</v>
      </c>
      <c r="D212" s="748" t="s">
        <v>793</v>
      </c>
      <c r="E212" s="751" t="s">
        <v>788</v>
      </c>
    </row>
    <row r="213" spans="1:5" x14ac:dyDescent="0.2">
      <c r="A213" s="748" t="s">
        <v>1536</v>
      </c>
      <c r="B213" s="748" t="s">
        <v>794</v>
      </c>
      <c r="C213" s="752" t="s">
        <v>140</v>
      </c>
      <c r="D213" s="748" t="s">
        <v>795</v>
      </c>
      <c r="E213" s="751" t="s">
        <v>788</v>
      </c>
    </row>
    <row r="214" spans="1:5" x14ac:dyDescent="0.2">
      <c r="A214" s="748" t="s">
        <v>54</v>
      </c>
      <c r="B214" s="748" t="s">
        <v>794</v>
      </c>
      <c r="C214" s="752" t="s">
        <v>140</v>
      </c>
      <c r="D214" s="748"/>
      <c r="E214" s="751" t="s">
        <v>788</v>
      </c>
    </row>
    <row r="215" spans="1:5" x14ac:dyDescent="0.2">
      <c r="A215" s="737" t="s">
        <v>1736</v>
      </c>
      <c r="B215" s="737" t="s">
        <v>794</v>
      </c>
      <c r="C215" s="755" t="s">
        <v>140</v>
      </c>
      <c r="E215" s="756" t="s">
        <v>788</v>
      </c>
    </row>
    <row r="216" spans="1:5" x14ac:dyDescent="0.2">
      <c r="A216" s="748" t="s">
        <v>261</v>
      </c>
      <c r="B216" s="748" t="s">
        <v>796</v>
      </c>
      <c r="C216" s="752" t="s">
        <v>140</v>
      </c>
      <c r="D216" s="748" t="s">
        <v>797</v>
      </c>
      <c r="E216" s="751" t="s">
        <v>788</v>
      </c>
    </row>
    <row r="217" spans="1:5" x14ac:dyDescent="0.2">
      <c r="A217" s="737" t="s">
        <v>1835</v>
      </c>
      <c r="B217" s="737" t="s">
        <v>1107</v>
      </c>
      <c r="C217" s="755" t="s">
        <v>140</v>
      </c>
      <c r="E217" s="756" t="s">
        <v>788</v>
      </c>
    </row>
    <row r="218" spans="1:5" x14ac:dyDescent="0.2">
      <c r="A218" s="748" t="s">
        <v>1528</v>
      </c>
      <c r="B218" s="737" t="s">
        <v>1538</v>
      </c>
      <c r="C218" s="755" t="s">
        <v>140</v>
      </c>
      <c r="E218" s="751" t="s">
        <v>788</v>
      </c>
    </row>
    <row r="219" spans="1:5" x14ac:dyDescent="0.2">
      <c r="A219" s="737" t="s">
        <v>1743</v>
      </c>
      <c r="B219" s="737" t="s">
        <v>1538</v>
      </c>
      <c r="C219" s="755" t="s">
        <v>140</v>
      </c>
      <c r="E219" s="756" t="s">
        <v>788</v>
      </c>
    </row>
    <row r="220" spans="1:5" x14ac:dyDescent="0.2">
      <c r="A220" s="737" t="s">
        <v>1742</v>
      </c>
      <c r="B220" s="737" t="s">
        <v>1538</v>
      </c>
      <c r="C220" s="755" t="s">
        <v>140</v>
      </c>
      <c r="E220" s="756" t="s">
        <v>788</v>
      </c>
    </row>
    <row r="221" spans="1:5" x14ac:dyDescent="0.2">
      <c r="A221" s="748" t="s">
        <v>262</v>
      </c>
      <c r="B221" s="748" t="s">
        <v>799</v>
      </c>
      <c r="C221" s="752" t="s">
        <v>140</v>
      </c>
      <c r="D221" s="748" t="s">
        <v>798</v>
      </c>
      <c r="E221" s="751" t="s">
        <v>788</v>
      </c>
    </row>
    <row r="222" spans="1:5" x14ac:dyDescent="0.2">
      <c r="A222" s="748" t="s">
        <v>1974</v>
      </c>
      <c r="B222" s="748" t="s">
        <v>1975</v>
      </c>
      <c r="C222" s="752" t="s">
        <v>140</v>
      </c>
      <c r="D222" s="748"/>
      <c r="E222" s="751" t="s">
        <v>788</v>
      </c>
    </row>
    <row r="223" spans="1:5" x14ac:dyDescent="0.2">
      <c r="A223" s="757" t="s">
        <v>1255</v>
      </c>
      <c r="B223" s="736" t="s">
        <v>1254</v>
      </c>
      <c r="C223" s="754" t="s">
        <v>140</v>
      </c>
      <c r="D223" s="736"/>
      <c r="E223" s="751" t="s">
        <v>788</v>
      </c>
    </row>
    <row r="224" spans="1:5" x14ac:dyDescent="0.2">
      <c r="A224" s="748" t="s">
        <v>966</v>
      </c>
      <c r="B224" s="748" t="s">
        <v>964</v>
      </c>
      <c r="C224" s="752" t="s">
        <v>137</v>
      </c>
      <c r="D224" s="748" t="s">
        <v>965</v>
      </c>
      <c r="E224" s="751" t="s">
        <v>963</v>
      </c>
    </row>
    <row r="225" spans="1:5" x14ac:dyDescent="0.2">
      <c r="A225" s="748" t="s">
        <v>1298</v>
      </c>
      <c r="B225" s="748" t="s">
        <v>1302</v>
      </c>
      <c r="C225" s="752" t="s">
        <v>137</v>
      </c>
      <c r="D225" s="748"/>
      <c r="E225" s="751" t="s">
        <v>963</v>
      </c>
    </row>
    <row r="226" spans="1:5" x14ac:dyDescent="0.2">
      <c r="A226" s="748" t="s">
        <v>969</v>
      </c>
      <c r="B226" s="748" t="s">
        <v>967</v>
      </c>
      <c r="C226" s="752" t="s">
        <v>137</v>
      </c>
      <c r="D226" s="748" t="s">
        <v>968</v>
      </c>
      <c r="E226" s="751" t="s">
        <v>963</v>
      </c>
    </row>
    <row r="227" spans="1:5" ht="16.149999999999999" customHeight="1" x14ac:dyDescent="0.2">
      <c r="A227" s="748" t="s">
        <v>971</v>
      </c>
      <c r="B227" s="748" t="s">
        <v>970</v>
      </c>
      <c r="C227" s="752" t="s">
        <v>137</v>
      </c>
      <c r="D227" s="748" t="s">
        <v>965</v>
      </c>
      <c r="E227" s="751" t="s">
        <v>963</v>
      </c>
    </row>
    <row r="228" spans="1:5" ht="15" customHeight="1" x14ac:dyDescent="0.2">
      <c r="A228" s="748" t="s">
        <v>973</v>
      </c>
      <c r="B228" s="748" t="s">
        <v>972</v>
      </c>
      <c r="C228" s="752" t="s">
        <v>137</v>
      </c>
      <c r="D228" s="748" t="s">
        <v>965</v>
      </c>
      <c r="E228" s="751" t="s">
        <v>963</v>
      </c>
    </row>
    <row r="229" spans="1:5" x14ac:dyDescent="0.2">
      <c r="A229" s="748" t="s">
        <v>974</v>
      </c>
      <c r="B229" s="748" t="s">
        <v>972</v>
      </c>
      <c r="C229" s="752" t="s">
        <v>137</v>
      </c>
      <c r="D229" s="748" t="s">
        <v>968</v>
      </c>
      <c r="E229" s="751" t="s">
        <v>963</v>
      </c>
    </row>
    <row r="230" spans="1:5" ht="16.149999999999999" customHeight="1" x14ac:dyDescent="0.2">
      <c r="A230" s="748" t="s">
        <v>265</v>
      </c>
      <c r="B230" s="748" t="s">
        <v>975</v>
      </c>
      <c r="C230" s="752" t="s">
        <v>137</v>
      </c>
      <c r="D230" s="748" t="s">
        <v>976</v>
      </c>
      <c r="E230" s="751" t="s">
        <v>963</v>
      </c>
    </row>
    <row r="231" spans="1:5" x14ac:dyDescent="0.2">
      <c r="A231" s="748" t="s">
        <v>978</v>
      </c>
      <c r="B231" s="748" t="s">
        <v>977</v>
      </c>
      <c r="C231" s="752" t="s">
        <v>137</v>
      </c>
      <c r="D231" s="748" t="s">
        <v>965</v>
      </c>
      <c r="E231" s="751" t="s">
        <v>963</v>
      </c>
    </row>
    <row r="232" spans="1:5" x14ac:dyDescent="0.2">
      <c r="A232" s="748" t="s">
        <v>825</v>
      </c>
      <c r="B232" s="748" t="s">
        <v>823</v>
      </c>
      <c r="C232" s="752" t="s">
        <v>145</v>
      </c>
      <c r="D232" s="748" t="s">
        <v>824</v>
      </c>
      <c r="E232" s="751" t="s">
        <v>800</v>
      </c>
    </row>
    <row r="233" spans="1:5" ht="15" customHeight="1" x14ac:dyDescent="0.2">
      <c r="A233" s="748" t="s">
        <v>1993</v>
      </c>
      <c r="B233" s="748" t="s">
        <v>1994</v>
      </c>
      <c r="C233" s="752" t="s">
        <v>145</v>
      </c>
      <c r="D233" s="748"/>
      <c r="E233" s="751" t="s">
        <v>800</v>
      </c>
    </row>
    <row r="234" spans="1:5" ht="15" customHeight="1" x14ac:dyDescent="0.2">
      <c r="A234" s="758" t="s">
        <v>827</v>
      </c>
      <c r="B234" s="748" t="s">
        <v>826</v>
      </c>
      <c r="C234" s="752" t="s">
        <v>145</v>
      </c>
      <c r="D234" s="748"/>
      <c r="E234" s="751" t="s">
        <v>800</v>
      </c>
    </row>
    <row r="235" spans="1:5" ht="14.45" customHeight="1" x14ac:dyDescent="0.2">
      <c r="A235" s="748" t="s">
        <v>1513</v>
      </c>
      <c r="B235" s="748" t="s">
        <v>722</v>
      </c>
      <c r="C235" s="752" t="s">
        <v>145</v>
      </c>
      <c r="D235" s="748" t="s">
        <v>828</v>
      </c>
      <c r="E235" s="751" t="s">
        <v>800</v>
      </c>
    </row>
    <row r="236" spans="1:5" ht="15" customHeight="1" x14ac:dyDescent="0.2">
      <c r="A236" s="748" t="s">
        <v>268</v>
      </c>
      <c r="B236" s="748" t="s">
        <v>722</v>
      </c>
      <c r="C236" s="752" t="s">
        <v>145</v>
      </c>
      <c r="D236" s="748" t="s">
        <v>828</v>
      </c>
      <c r="E236" s="751" t="s">
        <v>800</v>
      </c>
    </row>
    <row r="237" spans="1:5" ht="15.6" customHeight="1" x14ac:dyDescent="0.2">
      <c r="A237" s="748" t="s">
        <v>830</v>
      </c>
      <c r="B237" s="748" t="s">
        <v>829</v>
      </c>
      <c r="C237" s="752" t="s">
        <v>145</v>
      </c>
      <c r="D237" s="748" t="s">
        <v>824</v>
      </c>
      <c r="E237" s="751" t="s">
        <v>800</v>
      </c>
    </row>
    <row r="238" spans="1:5" ht="16.899999999999999" customHeight="1" x14ac:dyDescent="0.2">
      <c r="A238" s="748" t="s">
        <v>1614</v>
      </c>
      <c r="B238" s="748" t="s">
        <v>1175</v>
      </c>
      <c r="C238" s="752" t="s">
        <v>145</v>
      </c>
      <c r="D238" s="748"/>
      <c r="E238" s="751" t="s">
        <v>800</v>
      </c>
    </row>
    <row r="239" spans="1:5" ht="14.45" customHeight="1" x14ac:dyDescent="0.2">
      <c r="A239" s="748" t="s">
        <v>1416</v>
      </c>
      <c r="B239" s="748" t="s">
        <v>819</v>
      </c>
      <c r="C239" s="752" t="s">
        <v>145</v>
      </c>
      <c r="D239" s="748"/>
      <c r="E239" s="751" t="s">
        <v>800</v>
      </c>
    </row>
    <row r="240" spans="1:5" x14ac:dyDescent="0.2">
      <c r="A240" s="748" t="s">
        <v>1691</v>
      </c>
      <c r="B240" s="748" t="s">
        <v>831</v>
      </c>
      <c r="C240" s="752" t="s">
        <v>145</v>
      </c>
      <c r="D240" s="748"/>
      <c r="E240" s="751" t="s">
        <v>800</v>
      </c>
    </row>
    <row r="241" spans="1:5" ht="15" customHeight="1" x14ac:dyDescent="0.2">
      <c r="A241" s="748" t="s">
        <v>1180</v>
      </c>
      <c r="B241" s="748" t="s">
        <v>831</v>
      </c>
      <c r="C241" s="752" t="s">
        <v>145</v>
      </c>
      <c r="D241" s="748"/>
      <c r="E241" s="751" t="s">
        <v>800</v>
      </c>
    </row>
    <row r="242" spans="1:5" ht="15" customHeight="1" x14ac:dyDescent="0.2">
      <c r="A242" s="748" t="s">
        <v>832</v>
      </c>
      <c r="B242" s="748" t="s">
        <v>831</v>
      </c>
      <c r="C242" s="752" t="s">
        <v>145</v>
      </c>
      <c r="D242" s="748" t="s">
        <v>824</v>
      </c>
      <c r="E242" s="751" t="s">
        <v>800</v>
      </c>
    </row>
    <row r="243" spans="1:5" ht="15" customHeight="1" x14ac:dyDescent="0.2">
      <c r="A243" s="748" t="s">
        <v>833</v>
      </c>
      <c r="B243" s="748" t="s">
        <v>831</v>
      </c>
      <c r="C243" s="752" t="s">
        <v>145</v>
      </c>
      <c r="D243" s="748" t="s">
        <v>824</v>
      </c>
      <c r="E243" s="751" t="s">
        <v>800</v>
      </c>
    </row>
    <row r="244" spans="1:5" x14ac:dyDescent="0.2">
      <c r="A244" s="748" t="s">
        <v>1343</v>
      </c>
      <c r="B244" s="748" t="s">
        <v>831</v>
      </c>
      <c r="C244" s="752" t="s">
        <v>145</v>
      </c>
      <c r="D244" s="748"/>
      <c r="E244" s="751" t="s">
        <v>1103</v>
      </c>
    </row>
    <row r="245" spans="1:5" x14ac:dyDescent="0.2">
      <c r="A245" s="748" t="s">
        <v>1560</v>
      </c>
      <c r="B245" s="748" t="s">
        <v>1565</v>
      </c>
      <c r="C245" s="752" t="s">
        <v>145</v>
      </c>
      <c r="D245" s="748"/>
      <c r="E245" s="751" t="s">
        <v>800</v>
      </c>
    </row>
    <row r="246" spans="1:5" ht="13.9" customHeight="1" x14ac:dyDescent="0.2">
      <c r="A246" s="748" t="s">
        <v>766</v>
      </c>
      <c r="B246" s="748" t="s">
        <v>725</v>
      </c>
      <c r="C246" s="752" t="s">
        <v>124</v>
      </c>
      <c r="D246" s="748"/>
      <c r="E246" s="751" t="s">
        <v>1486</v>
      </c>
    </row>
    <row r="247" spans="1:5" x14ac:dyDescent="0.2">
      <c r="A247" s="748" t="s">
        <v>1792</v>
      </c>
      <c r="B247" s="748" t="s">
        <v>1793</v>
      </c>
      <c r="C247" s="752" t="s">
        <v>124</v>
      </c>
      <c r="D247" s="748"/>
      <c r="E247" s="751" t="s">
        <v>1486</v>
      </c>
    </row>
    <row r="248" spans="1:5" ht="14.25" customHeight="1" x14ac:dyDescent="0.2">
      <c r="A248" s="748" t="s">
        <v>270</v>
      </c>
      <c r="B248" s="748" t="s">
        <v>1107</v>
      </c>
      <c r="C248" s="752" t="s">
        <v>124</v>
      </c>
      <c r="D248" s="748" t="s">
        <v>1108</v>
      </c>
      <c r="E248" s="751" t="s">
        <v>1486</v>
      </c>
    </row>
    <row r="249" spans="1:5" ht="13.5" customHeight="1" x14ac:dyDescent="0.2">
      <c r="A249" s="748" t="s">
        <v>1696</v>
      </c>
      <c r="B249" s="748" t="s">
        <v>1697</v>
      </c>
      <c r="C249" s="752" t="s">
        <v>124</v>
      </c>
      <c r="D249" s="748"/>
      <c r="E249" s="751" t="s">
        <v>1347</v>
      </c>
    </row>
    <row r="250" spans="1:5" ht="13.5" customHeight="1" x14ac:dyDescent="0.2">
      <c r="A250" s="750" t="s">
        <v>1958</v>
      </c>
      <c r="B250" s="748" t="s">
        <v>910</v>
      </c>
      <c r="C250" s="752" t="s">
        <v>172</v>
      </c>
      <c r="D250" s="748" t="s">
        <v>903</v>
      </c>
      <c r="E250" s="751" t="s">
        <v>893</v>
      </c>
    </row>
    <row r="251" spans="1:5" ht="13.5" customHeight="1" x14ac:dyDescent="0.2">
      <c r="A251" s="748" t="s">
        <v>1328</v>
      </c>
      <c r="B251" s="748" t="s">
        <v>1341</v>
      </c>
      <c r="C251" s="752" t="s">
        <v>172</v>
      </c>
      <c r="D251" s="748"/>
      <c r="E251" s="751" t="s">
        <v>893</v>
      </c>
    </row>
    <row r="252" spans="1:5" ht="13.5" customHeight="1" x14ac:dyDescent="0.2">
      <c r="A252" s="748" t="s">
        <v>272</v>
      </c>
      <c r="B252" s="748" t="s">
        <v>700</v>
      </c>
      <c r="C252" s="752" t="s">
        <v>155</v>
      </c>
      <c r="D252" s="748" t="s">
        <v>701</v>
      </c>
      <c r="E252" s="751" t="s">
        <v>699</v>
      </c>
    </row>
    <row r="253" spans="1:5" ht="13.5" customHeight="1" x14ac:dyDescent="0.2">
      <c r="A253" s="748" t="s">
        <v>49</v>
      </c>
      <c r="B253" s="748" t="s">
        <v>702</v>
      </c>
      <c r="C253" s="752" t="s">
        <v>155</v>
      </c>
      <c r="D253" s="748" t="s">
        <v>703</v>
      </c>
      <c r="E253" s="751" t="s">
        <v>699</v>
      </c>
    </row>
    <row r="254" spans="1:5" ht="13.5" customHeight="1" x14ac:dyDescent="0.2">
      <c r="A254" s="748" t="s">
        <v>1786</v>
      </c>
      <c r="B254" s="748" t="s">
        <v>1787</v>
      </c>
      <c r="C254" s="752" t="s">
        <v>155</v>
      </c>
      <c r="D254" s="748"/>
      <c r="E254" s="751" t="s">
        <v>699</v>
      </c>
    </row>
    <row r="255" spans="1:5" ht="13.5" customHeight="1" x14ac:dyDescent="0.2">
      <c r="A255" s="748" t="s">
        <v>706</v>
      </c>
      <c r="B255" s="748" t="s">
        <v>704</v>
      </c>
      <c r="C255" s="752" t="s">
        <v>155</v>
      </c>
      <c r="D255" s="748" t="s">
        <v>705</v>
      </c>
      <c r="E255" s="751" t="s">
        <v>699</v>
      </c>
    </row>
    <row r="256" spans="1:5" ht="13.5" customHeight="1" x14ac:dyDescent="0.2">
      <c r="A256" s="748" t="s">
        <v>709</v>
      </c>
      <c r="B256" s="748" t="s">
        <v>707</v>
      </c>
      <c r="C256" s="752" t="s">
        <v>155</v>
      </c>
      <c r="D256" s="748" t="s">
        <v>708</v>
      </c>
      <c r="E256" s="751" t="s">
        <v>699</v>
      </c>
    </row>
    <row r="257" spans="1:5" ht="13.5" customHeight="1" x14ac:dyDescent="0.2">
      <c r="A257" s="748" t="s">
        <v>277</v>
      </c>
      <c r="B257" s="748" t="s">
        <v>707</v>
      </c>
      <c r="C257" s="752" t="s">
        <v>155</v>
      </c>
      <c r="D257" s="748" t="s">
        <v>710</v>
      </c>
      <c r="E257" s="751" t="s">
        <v>699</v>
      </c>
    </row>
    <row r="258" spans="1:5" ht="13.5" customHeight="1" x14ac:dyDescent="0.2">
      <c r="A258" s="748" t="s">
        <v>1375</v>
      </c>
      <c r="B258" s="748" t="s">
        <v>1410</v>
      </c>
      <c r="C258" s="752" t="s">
        <v>155</v>
      </c>
      <c r="D258" s="748"/>
      <c r="E258" s="751" t="s">
        <v>699</v>
      </c>
    </row>
    <row r="259" spans="1:5" ht="13.5" customHeight="1" x14ac:dyDescent="0.2">
      <c r="A259" s="748" t="s">
        <v>275</v>
      </c>
      <c r="B259" s="748" t="s">
        <v>711</v>
      </c>
      <c r="C259" s="752" t="s">
        <v>155</v>
      </c>
      <c r="D259" s="748" t="s">
        <v>703</v>
      </c>
      <c r="E259" s="751" t="s">
        <v>699</v>
      </c>
    </row>
    <row r="260" spans="1:5" ht="15" customHeight="1" x14ac:dyDescent="0.2">
      <c r="A260" s="753" t="s">
        <v>714</v>
      </c>
      <c r="B260" s="748" t="s">
        <v>712</v>
      </c>
      <c r="C260" s="752" t="s">
        <v>155</v>
      </c>
      <c r="D260" s="748" t="s">
        <v>713</v>
      </c>
      <c r="E260" s="751" t="s">
        <v>699</v>
      </c>
    </row>
    <row r="261" spans="1:5" ht="13.5" customHeight="1" x14ac:dyDescent="0.2">
      <c r="A261" s="748" t="s">
        <v>1909</v>
      </c>
      <c r="B261" s="748" t="s">
        <v>1910</v>
      </c>
      <c r="C261" s="752" t="s">
        <v>155</v>
      </c>
      <c r="D261" s="748"/>
      <c r="E261" s="751" t="s">
        <v>699</v>
      </c>
    </row>
    <row r="262" spans="1:5" ht="13.5" customHeight="1" x14ac:dyDescent="0.2">
      <c r="A262" s="748" t="s">
        <v>1295</v>
      </c>
      <c r="B262" s="748" t="s">
        <v>1296</v>
      </c>
      <c r="C262" s="752" t="s">
        <v>155</v>
      </c>
      <c r="D262" s="748"/>
      <c r="E262" s="751" t="s">
        <v>699</v>
      </c>
    </row>
    <row r="263" spans="1:5" ht="13.5" customHeight="1" x14ac:dyDescent="0.2">
      <c r="A263" s="748" t="s">
        <v>1472</v>
      </c>
      <c r="B263" s="748" t="s">
        <v>1485</v>
      </c>
      <c r="C263" s="752" t="s">
        <v>155</v>
      </c>
      <c r="D263" s="748"/>
      <c r="E263" s="751" t="s">
        <v>699</v>
      </c>
    </row>
    <row r="264" spans="1:5" ht="13.5" customHeight="1" x14ac:dyDescent="0.2">
      <c r="A264" s="748" t="s">
        <v>1785</v>
      </c>
      <c r="B264" s="748" t="s">
        <v>1485</v>
      </c>
      <c r="C264" s="752" t="s">
        <v>155</v>
      </c>
      <c r="D264" s="748"/>
      <c r="E264" s="751" t="s">
        <v>699</v>
      </c>
    </row>
    <row r="265" spans="1:5" ht="13.5" customHeight="1" x14ac:dyDescent="0.2">
      <c r="A265" s="748" t="s">
        <v>1932</v>
      </c>
      <c r="B265" s="748" t="s">
        <v>836</v>
      </c>
      <c r="C265" s="752" t="s">
        <v>155</v>
      </c>
      <c r="D265" s="748"/>
      <c r="E265" s="751" t="s">
        <v>699</v>
      </c>
    </row>
    <row r="266" spans="1:5" ht="16.149999999999999" customHeight="1" x14ac:dyDescent="0.2">
      <c r="A266" s="748" t="s">
        <v>716</v>
      </c>
      <c r="B266" s="748" t="s">
        <v>715</v>
      </c>
      <c r="C266" s="752" t="s">
        <v>155</v>
      </c>
      <c r="D266" s="748" t="s">
        <v>710</v>
      </c>
      <c r="E266" s="751" t="s">
        <v>699</v>
      </c>
    </row>
    <row r="267" spans="1:5" s="761" customFormat="1" ht="15" customHeight="1" x14ac:dyDescent="0.25">
      <c r="A267" s="748" t="s">
        <v>1177</v>
      </c>
      <c r="B267" s="748" t="s">
        <v>715</v>
      </c>
      <c r="C267" s="752" t="s">
        <v>155</v>
      </c>
      <c r="D267" s="748" t="s">
        <v>710</v>
      </c>
      <c r="E267" s="751" t="s">
        <v>699</v>
      </c>
    </row>
    <row r="268" spans="1:5" ht="16.149999999999999" customHeight="1" x14ac:dyDescent="0.2">
      <c r="A268" s="748" t="s">
        <v>717</v>
      </c>
      <c r="B268" s="748" t="s">
        <v>715</v>
      </c>
      <c r="C268" s="752" t="s">
        <v>155</v>
      </c>
      <c r="D268" s="748"/>
      <c r="E268" s="751" t="s">
        <v>699</v>
      </c>
    </row>
    <row r="269" spans="1:5" ht="15.6" customHeight="1" x14ac:dyDescent="0.2">
      <c r="A269" s="748" t="s">
        <v>1207</v>
      </c>
      <c r="B269" s="748" t="s">
        <v>1879</v>
      </c>
      <c r="C269" s="752" t="s">
        <v>1878</v>
      </c>
      <c r="D269" s="748"/>
      <c r="E269" s="751" t="s">
        <v>963</v>
      </c>
    </row>
    <row r="270" spans="1:5" ht="15.6" customHeight="1" x14ac:dyDescent="0.2">
      <c r="A270" s="748" t="s">
        <v>1111</v>
      </c>
      <c r="B270" s="748" t="s">
        <v>1109</v>
      </c>
      <c r="C270" s="752" t="s">
        <v>129</v>
      </c>
      <c r="D270" s="748" t="s">
        <v>1110</v>
      </c>
      <c r="E270" s="751" t="s">
        <v>1103</v>
      </c>
    </row>
    <row r="271" spans="1:5" ht="15.6" customHeight="1" x14ac:dyDescent="0.2">
      <c r="A271" s="748" t="s">
        <v>1552</v>
      </c>
      <c r="B271" s="748" t="s">
        <v>1564</v>
      </c>
      <c r="C271" s="752" t="s">
        <v>129</v>
      </c>
      <c r="E271" s="751" t="s">
        <v>800</v>
      </c>
    </row>
    <row r="272" spans="1:5" ht="14.25" customHeight="1" x14ac:dyDescent="0.2">
      <c r="A272" s="748" t="s">
        <v>37</v>
      </c>
      <c r="B272" s="748" t="s">
        <v>1057</v>
      </c>
      <c r="C272" s="752" t="s">
        <v>134</v>
      </c>
      <c r="D272" s="748"/>
      <c r="E272" s="751" t="s">
        <v>1022</v>
      </c>
    </row>
    <row r="273" spans="1:5" ht="15" customHeight="1" x14ac:dyDescent="0.2">
      <c r="A273" s="748" t="s">
        <v>1060</v>
      </c>
      <c r="B273" s="748" t="s">
        <v>1058</v>
      </c>
      <c r="C273" s="752" t="s">
        <v>134</v>
      </c>
      <c r="D273" s="748" t="s">
        <v>1059</v>
      </c>
      <c r="E273" s="751" t="s">
        <v>1022</v>
      </c>
    </row>
    <row r="274" spans="1:5" ht="14.25" customHeight="1" x14ac:dyDescent="0.2">
      <c r="A274" s="748" t="s">
        <v>278</v>
      </c>
      <c r="B274" s="748" t="s">
        <v>1061</v>
      </c>
      <c r="C274" s="752" t="s">
        <v>134</v>
      </c>
      <c r="D274" s="748" t="s">
        <v>1062</v>
      </c>
      <c r="E274" s="751" t="s">
        <v>1022</v>
      </c>
    </row>
    <row r="275" spans="1:5" x14ac:dyDescent="0.2">
      <c r="A275" s="748" t="s">
        <v>1064</v>
      </c>
      <c r="B275" s="748" t="s">
        <v>1063</v>
      </c>
      <c r="C275" s="752" t="s">
        <v>134</v>
      </c>
      <c r="D275" s="748"/>
      <c r="E275" s="751" t="s">
        <v>1022</v>
      </c>
    </row>
    <row r="276" spans="1:5" x14ac:dyDescent="0.2">
      <c r="A276" s="748" t="s">
        <v>35</v>
      </c>
      <c r="B276" s="748" t="s">
        <v>1063</v>
      </c>
      <c r="C276" s="752" t="s">
        <v>134</v>
      </c>
      <c r="D276" s="748" t="s">
        <v>1065</v>
      </c>
      <c r="E276" s="751" t="s">
        <v>1022</v>
      </c>
    </row>
    <row r="277" spans="1:5" x14ac:dyDescent="0.2">
      <c r="A277" s="748" t="s">
        <v>1762</v>
      </c>
      <c r="B277" s="748" t="s">
        <v>1763</v>
      </c>
      <c r="C277" s="752" t="s">
        <v>134</v>
      </c>
      <c r="D277" s="748"/>
      <c r="E277" s="751" t="s">
        <v>1022</v>
      </c>
    </row>
    <row r="278" spans="1:5" ht="15" customHeight="1" x14ac:dyDescent="0.2">
      <c r="A278" s="748" t="s">
        <v>1778</v>
      </c>
      <c r="B278" s="748" t="s">
        <v>1112</v>
      </c>
      <c r="C278" s="752" t="s">
        <v>142</v>
      </c>
      <c r="D278" s="748" t="s">
        <v>1113</v>
      </c>
      <c r="E278" s="751" t="s">
        <v>834</v>
      </c>
    </row>
    <row r="279" spans="1:5" ht="16.5" customHeight="1" x14ac:dyDescent="0.2">
      <c r="A279" s="748" t="s">
        <v>838</v>
      </c>
      <c r="B279" s="748" t="s">
        <v>837</v>
      </c>
      <c r="C279" s="752" t="s">
        <v>142</v>
      </c>
      <c r="D279" s="748"/>
      <c r="E279" s="751" t="s">
        <v>834</v>
      </c>
    </row>
    <row r="280" spans="1:5" ht="15.75" customHeight="1" x14ac:dyDescent="0.2">
      <c r="A280" s="748" t="s">
        <v>1953</v>
      </c>
      <c r="B280" s="748" t="s">
        <v>1954</v>
      </c>
      <c r="C280" s="752" t="s">
        <v>142</v>
      </c>
      <c r="D280" s="748"/>
      <c r="E280" s="751" t="s">
        <v>834</v>
      </c>
    </row>
    <row r="281" spans="1:5" ht="15.75" customHeight="1" x14ac:dyDescent="0.2">
      <c r="A281" s="748" t="s">
        <v>1782</v>
      </c>
      <c r="B281" s="748" t="s">
        <v>1781</v>
      </c>
      <c r="C281" s="752" t="s">
        <v>142</v>
      </c>
      <c r="D281" s="748"/>
      <c r="E281" s="751" t="s">
        <v>834</v>
      </c>
    </row>
    <row r="282" spans="1:5" x14ac:dyDescent="0.2">
      <c r="A282" s="748" t="s">
        <v>1776</v>
      </c>
      <c r="B282" s="748" t="s">
        <v>1114</v>
      </c>
      <c r="C282" s="752" t="s">
        <v>142</v>
      </c>
      <c r="D282" s="748" t="s">
        <v>1113</v>
      </c>
      <c r="E282" s="751" t="s">
        <v>834</v>
      </c>
    </row>
    <row r="283" spans="1:5" x14ac:dyDescent="0.2">
      <c r="A283" s="748" t="s">
        <v>1470</v>
      </c>
      <c r="B283" s="748" t="s">
        <v>1483</v>
      </c>
      <c r="C283" s="752" t="s">
        <v>142</v>
      </c>
      <c r="D283" s="748"/>
      <c r="E283" s="751" t="s">
        <v>834</v>
      </c>
    </row>
    <row r="284" spans="1:5" x14ac:dyDescent="0.2">
      <c r="A284" s="748" t="s">
        <v>1780</v>
      </c>
      <c r="B284" s="748" t="s">
        <v>1115</v>
      </c>
      <c r="C284" s="752" t="s">
        <v>142</v>
      </c>
      <c r="D284" s="748" t="s">
        <v>1113</v>
      </c>
      <c r="E284" s="751" t="s">
        <v>834</v>
      </c>
    </row>
    <row r="285" spans="1:5" x14ac:dyDescent="0.2">
      <c r="A285" s="748" t="s">
        <v>1971</v>
      </c>
      <c r="B285" s="748" t="s">
        <v>1950</v>
      </c>
      <c r="C285" s="752" t="s">
        <v>142</v>
      </c>
      <c r="D285" s="748"/>
      <c r="E285" s="751" t="s">
        <v>834</v>
      </c>
    </row>
    <row r="286" spans="1:5" x14ac:dyDescent="0.2">
      <c r="A286" s="748" t="s">
        <v>1777</v>
      </c>
      <c r="B286" s="748" t="s">
        <v>1116</v>
      </c>
      <c r="C286" s="752" t="s">
        <v>142</v>
      </c>
      <c r="D286" s="748" t="s">
        <v>1113</v>
      </c>
      <c r="E286" s="751" t="s">
        <v>834</v>
      </c>
    </row>
    <row r="287" spans="1:5" x14ac:dyDescent="0.2">
      <c r="A287" s="748" t="s">
        <v>1662</v>
      </c>
      <c r="B287" s="748" t="s">
        <v>1663</v>
      </c>
      <c r="C287" s="752" t="s">
        <v>142</v>
      </c>
      <c r="D287" s="748"/>
      <c r="E287" s="751" t="s">
        <v>834</v>
      </c>
    </row>
    <row r="288" spans="1:5" x14ac:dyDescent="0.2">
      <c r="A288" s="748" t="s">
        <v>1471</v>
      </c>
      <c r="B288" s="748" t="s">
        <v>1484</v>
      </c>
      <c r="C288" s="752" t="s">
        <v>142</v>
      </c>
      <c r="D288" s="748"/>
      <c r="E288" s="751" t="s">
        <v>834</v>
      </c>
    </row>
    <row r="289" spans="1:5" x14ac:dyDescent="0.2">
      <c r="A289" s="748" t="s">
        <v>1933</v>
      </c>
      <c r="B289" s="748" t="s">
        <v>1935</v>
      </c>
      <c r="C289" s="752" t="s">
        <v>142</v>
      </c>
      <c r="D289" s="748"/>
      <c r="E289" s="751" t="s">
        <v>834</v>
      </c>
    </row>
    <row r="290" spans="1:5" x14ac:dyDescent="0.2">
      <c r="A290" s="748" t="s">
        <v>1779</v>
      </c>
      <c r="B290" s="748" t="s">
        <v>1117</v>
      </c>
      <c r="C290" s="752" t="s">
        <v>142</v>
      </c>
      <c r="D290" s="748" t="s">
        <v>1113</v>
      </c>
      <c r="E290" s="751" t="s">
        <v>834</v>
      </c>
    </row>
    <row r="291" spans="1:5" x14ac:dyDescent="0.2">
      <c r="A291" s="748" t="s">
        <v>1306</v>
      </c>
      <c r="B291" s="748" t="s">
        <v>839</v>
      </c>
      <c r="C291" s="752" t="s">
        <v>142</v>
      </c>
      <c r="D291" s="748" t="s">
        <v>840</v>
      </c>
      <c r="E291" s="751" t="s">
        <v>834</v>
      </c>
    </row>
    <row r="292" spans="1:5" ht="13.5" customHeight="1" x14ac:dyDescent="0.2">
      <c r="A292" s="748" t="s">
        <v>1934</v>
      </c>
      <c r="B292" s="748" t="s">
        <v>1936</v>
      </c>
      <c r="C292" s="752" t="s">
        <v>142</v>
      </c>
      <c r="D292" s="748"/>
      <c r="E292" s="751" t="s">
        <v>834</v>
      </c>
    </row>
    <row r="293" spans="1:5" x14ac:dyDescent="0.2">
      <c r="A293" s="748" t="s">
        <v>121</v>
      </c>
      <c r="B293" s="748" t="s">
        <v>1118</v>
      </c>
      <c r="C293" s="752" t="s">
        <v>142</v>
      </c>
      <c r="D293" s="748" t="s">
        <v>1119</v>
      </c>
      <c r="E293" s="751" t="s">
        <v>1103</v>
      </c>
    </row>
    <row r="294" spans="1:5" x14ac:dyDescent="0.2">
      <c r="A294" s="748" t="s">
        <v>279</v>
      </c>
      <c r="B294" s="748" t="s">
        <v>911</v>
      </c>
      <c r="C294" s="752" t="s">
        <v>150</v>
      </c>
      <c r="D294" s="748" t="s">
        <v>912</v>
      </c>
      <c r="E294" s="751" t="s">
        <v>893</v>
      </c>
    </row>
    <row r="295" spans="1:5" x14ac:dyDescent="0.2">
      <c r="A295" s="748" t="s">
        <v>914</v>
      </c>
      <c r="B295" s="748" t="s">
        <v>911</v>
      </c>
      <c r="C295" s="752" t="s">
        <v>150</v>
      </c>
      <c r="D295" s="748" t="s">
        <v>913</v>
      </c>
      <c r="E295" s="751" t="s">
        <v>893</v>
      </c>
    </row>
    <row r="296" spans="1:5" x14ac:dyDescent="0.2">
      <c r="A296" s="748" t="s">
        <v>1517</v>
      </c>
      <c r="B296" s="748" t="s">
        <v>911</v>
      </c>
      <c r="C296" s="752" t="s">
        <v>150</v>
      </c>
      <c r="E296" s="751" t="s">
        <v>893</v>
      </c>
    </row>
    <row r="297" spans="1:5" x14ac:dyDescent="0.2">
      <c r="A297" s="748" t="s">
        <v>281</v>
      </c>
      <c r="B297" s="748" t="s">
        <v>915</v>
      </c>
      <c r="C297" s="752" t="s">
        <v>170</v>
      </c>
      <c r="D297" s="748" t="s">
        <v>916</v>
      </c>
      <c r="E297" s="751" t="s">
        <v>893</v>
      </c>
    </row>
    <row r="298" spans="1:5" x14ac:dyDescent="0.2">
      <c r="A298" s="737" t="s">
        <v>1769</v>
      </c>
      <c r="B298" s="737" t="s">
        <v>756</v>
      </c>
      <c r="C298" s="755" t="s">
        <v>122</v>
      </c>
      <c r="E298" s="751" t="s">
        <v>1000</v>
      </c>
    </row>
    <row r="299" spans="1:5" x14ac:dyDescent="0.2">
      <c r="A299" s="748" t="s">
        <v>2012</v>
      </c>
      <c r="B299" s="748" t="s">
        <v>2011</v>
      </c>
      <c r="C299" s="752" t="s">
        <v>122</v>
      </c>
      <c r="D299" s="748"/>
      <c r="E299" s="751" t="s">
        <v>1000</v>
      </c>
    </row>
    <row r="300" spans="1:5" ht="25.5" x14ac:dyDescent="0.2">
      <c r="A300" s="748" t="s">
        <v>285</v>
      </c>
      <c r="B300" s="748" t="s">
        <v>1001</v>
      </c>
      <c r="C300" s="752" t="s">
        <v>122</v>
      </c>
      <c r="D300" s="748" t="s">
        <v>1002</v>
      </c>
      <c r="E300" s="751" t="s">
        <v>1000</v>
      </c>
    </row>
    <row r="301" spans="1:5" x14ac:dyDescent="0.2">
      <c r="A301" s="748" t="s">
        <v>296</v>
      </c>
      <c r="B301" s="748" t="s">
        <v>1003</v>
      </c>
      <c r="C301" s="752" t="s">
        <v>122</v>
      </c>
      <c r="D301" s="748"/>
      <c r="E301" s="751" t="s">
        <v>1000</v>
      </c>
    </row>
    <row r="302" spans="1:5" x14ac:dyDescent="0.2">
      <c r="A302" s="748" t="s">
        <v>291</v>
      </c>
      <c r="B302" s="748" t="s">
        <v>1004</v>
      </c>
      <c r="C302" s="752" t="s">
        <v>122</v>
      </c>
      <c r="D302" s="748" t="s">
        <v>1005</v>
      </c>
      <c r="E302" s="751" t="s">
        <v>1000</v>
      </c>
    </row>
    <row r="303" spans="1:5" ht="13.5" customHeight="1" x14ac:dyDescent="0.2">
      <c r="A303" s="748" t="s">
        <v>42</v>
      </c>
      <c r="B303" s="748" t="s">
        <v>1004</v>
      </c>
      <c r="C303" s="752" t="s">
        <v>122</v>
      </c>
      <c r="D303" s="748" t="s">
        <v>1005</v>
      </c>
      <c r="E303" s="751" t="s">
        <v>1000</v>
      </c>
    </row>
    <row r="304" spans="1:5" x14ac:dyDescent="0.2">
      <c r="A304" s="748" t="s">
        <v>1006</v>
      </c>
      <c r="B304" s="748" t="s">
        <v>1004</v>
      </c>
      <c r="C304" s="752" t="s">
        <v>122</v>
      </c>
      <c r="D304" s="748" t="s">
        <v>495</v>
      </c>
      <c r="E304" s="751" t="s">
        <v>1000</v>
      </c>
    </row>
    <row r="305" spans="1:5" x14ac:dyDescent="0.2">
      <c r="A305" s="748" t="s">
        <v>1997</v>
      </c>
      <c r="B305" s="748" t="s">
        <v>1998</v>
      </c>
      <c r="C305" s="752" t="s">
        <v>122</v>
      </c>
      <c r="D305" s="748"/>
      <c r="E305" s="751" t="s">
        <v>1000</v>
      </c>
    </row>
    <row r="306" spans="1:5" x14ac:dyDescent="0.2">
      <c r="A306" s="748" t="s">
        <v>1926</v>
      </c>
      <c r="B306" s="737" t="s">
        <v>1927</v>
      </c>
      <c r="C306" s="755" t="s">
        <v>122</v>
      </c>
      <c r="E306" s="751" t="s">
        <v>1000</v>
      </c>
    </row>
    <row r="307" spans="1:5" x14ac:dyDescent="0.2">
      <c r="A307" s="750" t="s">
        <v>294</v>
      </c>
      <c r="B307" s="748" t="s">
        <v>1007</v>
      </c>
      <c r="C307" s="752" t="s">
        <v>122</v>
      </c>
      <c r="D307" s="748" t="s">
        <v>1008</v>
      </c>
      <c r="E307" s="751" t="s">
        <v>1000</v>
      </c>
    </row>
    <row r="308" spans="1:5" x14ac:dyDescent="0.2">
      <c r="A308" s="748" t="s">
        <v>1947</v>
      </c>
      <c r="B308" s="737" t="s">
        <v>1950</v>
      </c>
      <c r="C308" s="755" t="s">
        <v>122</v>
      </c>
      <c r="E308" s="751" t="s">
        <v>1000</v>
      </c>
    </row>
    <row r="309" spans="1:5" x14ac:dyDescent="0.2">
      <c r="A309" s="748" t="s">
        <v>1011</v>
      </c>
      <c r="B309" s="748" t="s">
        <v>1010</v>
      </c>
      <c r="C309" s="752" t="s">
        <v>122</v>
      </c>
      <c r="D309" s="748" t="s">
        <v>1008</v>
      </c>
      <c r="E309" s="751" t="s">
        <v>1000</v>
      </c>
    </row>
    <row r="310" spans="1:5" ht="15.75" customHeight="1" x14ac:dyDescent="0.2">
      <c r="A310" s="750" t="s">
        <v>1883</v>
      </c>
      <c r="B310" s="737" t="s">
        <v>1012</v>
      </c>
      <c r="C310" s="755" t="s">
        <v>122</v>
      </c>
      <c r="E310" s="751" t="s">
        <v>1000</v>
      </c>
    </row>
    <row r="311" spans="1:5" ht="14.45" customHeight="1" x14ac:dyDescent="0.2">
      <c r="A311" s="748" t="s">
        <v>1014</v>
      </c>
      <c r="B311" s="748" t="s">
        <v>1012</v>
      </c>
      <c r="C311" s="752" t="s">
        <v>122</v>
      </c>
      <c r="D311" s="748" t="s">
        <v>1013</v>
      </c>
      <c r="E311" s="751" t="s">
        <v>1000</v>
      </c>
    </row>
    <row r="312" spans="1:5" x14ac:dyDescent="0.2">
      <c r="A312" s="736" t="s">
        <v>1209</v>
      </c>
      <c r="B312" s="736" t="s">
        <v>1012</v>
      </c>
      <c r="C312" s="754" t="s">
        <v>122</v>
      </c>
      <c r="D312" s="736"/>
      <c r="E312" s="751" t="s">
        <v>1000</v>
      </c>
    </row>
    <row r="313" spans="1:5" x14ac:dyDescent="0.2">
      <c r="A313" s="748" t="s">
        <v>1015</v>
      </c>
      <c r="B313" s="748" t="s">
        <v>1012</v>
      </c>
      <c r="C313" s="752" t="s">
        <v>122</v>
      </c>
      <c r="D313" s="748" t="s">
        <v>1013</v>
      </c>
      <c r="E313" s="751" t="s">
        <v>1000</v>
      </c>
    </row>
    <row r="314" spans="1:5" ht="13.5" customHeight="1" x14ac:dyDescent="0.2">
      <c r="A314" s="748" t="s">
        <v>293</v>
      </c>
      <c r="B314" s="748" t="s">
        <v>1012</v>
      </c>
      <c r="C314" s="752" t="s">
        <v>122</v>
      </c>
      <c r="D314" s="748" t="s">
        <v>1008</v>
      </c>
      <c r="E314" s="751" t="s">
        <v>1000</v>
      </c>
    </row>
    <row r="315" spans="1:5" x14ac:dyDescent="0.2">
      <c r="A315" s="748" t="s">
        <v>1016</v>
      </c>
      <c r="B315" s="748" t="s">
        <v>1012</v>
      </c>
      <c r="C315" s="752" t="s">
        <v>122</v>
      </c>
      <c r="D315" s="748" t="s">
        <v>1009</v>
      </c>
      <c r="E315" s="751" t="s">
        <v>1000</v>
      </c>
    </row>
    <row r="316" spans="1:5" ht="15" customHeight="1" x14ac:dyDescent="0.2">
      <c r="A316" s="748" t="s">
        <v>1535</v>
      </c>
      <c r="B316" s="748" t="s">
        <v>1012</v>
      </c>
      <c r="C316" s="752" t="s">
        <v>122</v>
      </c>
      <c r="D316" s="748"/>
      <c r="E316" s="751" t="s">
        <v>1000</v>
      </c>
    </row>
    <row r="317" spans="1:5" x14ac:dyDescent="0.2">
      <c r="A317" s="748" t="s">
        <v>1671</v>
      </c>
      <c r="B317" s="737" t="s">
        <v>1672</v>
      </c>
      <c r="C317" s="755" t="s">
        <v>122</v>
      </c>
      <c r="E317" s="751" t="s">
        <v>1000</v>
      </c>
    </row>
    <row r="318" spans="1:5" x14ac:dyDescent="0.2">
      <c r="A318" s="748" t="s">
        <v>1676</v>
      </c>
      <c r="B318" s="737" t="s">
        <v>1672</v>
      </c>
      <c r="C318" s="755" t="s">
        <v>122</v>
      </c>
      <c r="E318" s="751" t="s">
        <v>1000</v>
      </c>
    </row>
    <row r="319" spans="1:5" x14ac:dyDescent="0.2">
      <c r="A319" s="748" t="s">
        <v>1017</v>
      </c>
      <c r="B319" s="748" t="s">
        <v>975</v>
      </c>
      <c r="C319" s="752" t="s">
        <v>122</v>
      </c>
      <c r="D319" s="748"/>
      <c r="E319" s="751" t="s">
        <v>1000</v>
      </c>
    </row>
    <row r="320" spans="1:5" x14ac:dyDescent="0.2">
      <c r="A320" s="748" t="s">
        <v>1019</v>
      </c>
      <c r="B320" s="748" t="s">
        <v>1018</v>
      </c>
      <c r="C320" s="752" t="s">
        <v>122</v>
      </c>
      <c r="D320" s="748"/>
      <c r="E320" s="751" t="s">
        <v>1000</v>
      </c>
    </row>
    <row r="321" spans="1:5" x14ac:dyDescent="0.2">
      <c r="A321" s="748" t="s">
        <v>1457</v>
      </c>
      <c r="B321" s="748" t="s">
        <v>51</v>
      </c>
      <c r="C321" s="752" t="s">
        <v>122</v>
      </c>
      <c r="D321" s="748"/>
      <c r="E321" s="751" t="s">
        <v>1000</v>
      </c>
    </row>
    <row r="322" spans="1:5" x14ac:dyDescent="0.2">
      <c r="A322" s="748" t="s">
        <v>292</v>
      </c>
      <c r="B322" s="748" t="s">
        <v>1020</v>
      </c>
      <c r="C322" s="752" t="s">
        <v>122</v>
      </c>
      <c r="D322" s="748" t="s">
        <v>495</v>
      </c>
      <c r="E322" s="751" t="s">
        <v>1000</v>
      </c>
    </row>
    <row r="323" spans="1:5" ht="14.25" customHeight="1" x14ac:dyDescent="0.2">
      <c r="A323" s="748" t="s">
        <v>287</v>
      </c>
      <c r="B323" s="748" t="s">
        <v>1021</v>
      </c>
      <c r="C323" s="752" t="s">
        <v>122</v>
      </c>
      <c r="D323" s="748"/>
      <c r="E323" s="751" t="s">
        <v>1000</v>
      </c>
    </row>
    <row r="324" spans="1:5" x14ac:dyDescent="0.2">
      <c r="A324" s="748" t="s">
        <v>1983</v>
      </c>
      <c r="B324" s="748" t="s">
        <v>1985</v>
      </c>
      <c r="C324" s="752" t="s">
        <v>122</v>
      </c>
      <c r="D324" s="748"/>
      <c r="E324" s="751" t="s">
        <v>1000</v>
      </c>
    </row>
    <row r="325" spans="1:5" x14ac:dyDescent="0.2">
      <c r="A325" s="748" t="s">
        <v>1144</v>
      </c>
      <c r="B325" s="748" t="s">
        <v>1173</v>
      </c>
      <c r="C325" s="752" t="s">
        <v>143</v>
      </c>
      <c r="D325" s="748"/>
      <c r="E325" s="751" t="s">
        <v>767</v>
      </c>
    </row>
    <row r="326" spans="1:5" x14ac:dyDescent="0.2">
      <c r="A326" s="748" t="s">
        <v>300</v>
      </c>
      <c r="B326" s="748" t="s">
        <v>761</v>
      </c>
      <c r="C326" s="752" t="s">
        <v>143</v>
      </c>
      <c r="D326" s="748"/>
      <c r="E326" s="751" t="s">
        <v>767</v>
      </c>
    </row>
    <row r="327" spans="1:5" x14ac:dyDescent="0.2">
      <c r="A327" s="748" t="s">
        <v>299</v>
      </c>
      <c r="B327" s="748" t="s">
        <v>761</v>
      </c>
      <c r="C327" s="752" t="s">
        <v>143</v>
      </c>
      <c r="D327" s="748" t="s">
        <v>768</v>
      </c>
      <c r="E327" s="751" t="s">
        <v>767</v>
      </c>
    </row>
    <row r="328" spans="1:5" x14ac:dyDescent="0.2">
      <c r="A328" s="748" t="s">
        <v>1978</v>
      </c>
      <c r="B328" s="748" t="s">
        <v>1979</v>
      </c>
      <c r="C328" s="752" t="s">
        <v>143</v>
      </c>
      <c r="D328" s="748"/>
      <c r="E328" s="751" t="s">
        <v>767</v>
      </c>
    </row>
    <row r="329" spans="1:5" x14ac:dyDescent="0.2">
      <c r="A329" s="748" t="s">
        <v>1977</v>
      </c>
      <c r="B329" s="748" t="s">
        <v>1979</v>
      </c>
      <c r="C329" s="752" t="s">
        <v>143</v>
      </c>
      <c r="D329" s="748"/>
      <c r="E329" s="751" t="s">
        <v>767</v>
      </c>
    </row>
    <row r="330" spans="1:5" x14ac:dyDescent="0.2">
      <c r="A330" s="748" t="s">
        <v>771</v>
      </c>
      <c r="B330" s="748" t="s">
        <v>769</v>
      </c>
      <c r="C330" s="752" t="s">
        <v>143</v>
      </c>
      <c r="D330" s="748" t="s">
        <v>770</v>
      </c>
      <c r="E330" s="751" t="s">
        <v>767</v>
      </c>
    </row>
    <row r="331" spans="1:5" x14ac:dyDescent="0.2">
      <c r="A331" s="748" t="s">
        <v>298</v>
      </c>
      <c r="B331" s="748" t="s">
        <v>769</v>
      </c>
      <c r="C331" s="752" t="s">
        <v>143</v>
      </c>
      <c r="D331" s="748" t="s">
        <v>772</v>
      </c>
      <c r="E331" s="751" t="s">
        <v>767</v>
      </c>
    </row>
    <row r="332" spans="1:5" x14ac:dyDescent="0.2">
      <c r="A332" s="736" t="s">
        <v>1266</v>
      </c>
      <c r="B332" s="736" t="s">
        <v>769</v>
      </c>
      <c r="C332" s="754" t="s">
        <v>143</v>
      </c>
      <c r="D332" s="736"/>
      <c r="E332" s="751" t="s">
        <v>767</v>
      </c>
    </row>
    <row r="333" spans="1:5" x14ac:dyDescent="0.2">
      <c r="A333" s="748" t="s">
        <v>678</v>
      </c>
      <c r="B333" s="748" t="s">
        <v>773</v>
      </c>
      <c r="C333" s="752" t="s">
        <v>143</v>
      </c>
      <c r="D333" s="748"/>
      <c r="E333" s="751" t="s">
        <v>767</v>
      </c>
    </row>
    <row r="334" spans="1:5" x14ac:dyDescent="0.2">
      <c r="A334" s="748" t="s">
        <v>679</v>
      </c>
      <c r="B334" s="748" t="s">
        <v>773</v>
      </c>
      <c r="C334" s="752" t="s">
        <v>143</v>
      </c>
      <c r="D334" s="748"/>
      <c r="E334" s="751" t="s">
        <v>767</v>
      </c>
    </row>
    <row r="335" spans="1:5" x14ac:dyDescent="0.2">
      <c r="A335" s="748" t="s">
        <v>774</v>
      </c>
      <c r="B335" s="748" t="s">
        <v>773</v>
      </c>
      <c r="C335" s="752" t="s">
        <v>143</v>
      </c>
      <c r="D335" s="748"/>
      <c r="E335" s="751" t="s">
        <v>767</v>
      </c>
    </row>
    <row r="336" spans="1:5" x14ac:dyDescent="0.2">
      <c r="A336" s="748" t="s">
        <v>775</v>
      </c>
      <c r="B336" s="748" t="s">
        <v>773</v>
      </c>
      <c r="C336" s="752" t="s">
        <v>143</v>
      </c>
      <c r="D336" s="748"/>
      <c r="E336" s="751" t="s">
        <v>767</v>
      </c>
    </row>
    <row r="337" spans="1:5" x14ac:dyDescent="0.2">
      <c r="A337" s="748" t="s">
        <v>776</v>
      </c>
      <c r="B337" s="748" t="s">
        <v>773</v>
      </c>
      <c r="C337" s="752" t="s">
        <v>143</v>
      </c>
      <c r="D337" s="748"/>
      <c r="E337" s="751" t="s">
        <v>767</v>
      </c>
    </row>
    <row r="338" spans="1:5" x14ac:dyDescent="0.2">
      <c r="A338" s="748" t="s">
        <v>297</v>
      </c>
      <c r="B338" s="748" t="s">
        <v>773</v>
      </c>
      <c r="C338" s="752" t="s">
        <v>143</v>
      </c>
      <c r="D338" s="748" t="s">
        <v>777</v>
      </c>
      <c r="E338" s="751" t="s">
        <v>767</v>
      </c>
    </row>
    <row r="339" spans="1:5" x14ac:dyDescent="0.2">
      <c r="A339" s="748" t="s">
        <v>1690</v>
      </c>
      <c r="B339" s="748" t="s">
        <v>1057</v>
      </c>
      <c r="C339" s="752" t="s">
        <v>143</v>
      </c>
      <c r="D339" s="748"/>
      <c r="E339" s="751" t="s">
        <v>767</v>
      </c>
    </row>
    <row r="340" spans="1:5" x14ac:dyDescent="0.2">
      <c r="A340" s="748" t="s">
        <v>779</v>
      </c>
      <c r="B340" s="748" t="s">
        <v>778</v>
      </c>
      <c r="C340" s="752" t="s">
        <v>143</v>
      </c>
      <c r="D340" s="748"/>
      <c r="E340" s="751" t="s">
        <v>767</v>
      </c>
    </row>
    <row r="341" spans="1:5" x14ac:dyDescent="0.2">
      <c r="A341" s="748" t="s">
        <v>781</v>
      </c>
      <c r="B341" s="748" t="s">
        <v>780</v>
      </c>
      <c r="C341" s="752" t="s">
        <v>143</v>
      </c>
      <c r="D341" s="748"/>
      <c r="E341" s="751" t="s">
        <v>767</v>
      </c>
    </row>
    <row r="342" spans="1:5" x14ac:dyDescent="0.2">
      <c r="A342" s="748" t="s">
        <v>1606</v>
      </c>
      <c r="B342" s="748" t="s">
        <v>1605</v>
      </c>
      <c r="C342" s="752" t="s">
        <v>143</v>
      </c>
      <c r="D342" s="748"/>
      <c r="E342" s="751" t="s">
        <v>767</v>
      </c>
    </row>
    <row r="343" spans="1:5" x14ac:dyDescent="0.2">
      <c r="A343" s="748" t="s">
        <v>783</v>
      </c>
      <c r="B343" s="748" t="s">
        <v>782</v>
      </c>
      <c r="C343" s="752" t="s">
        <v>143</v>
      </c>
      <c r="D343" s="748"/>
      <c r="E343" s="751" t="s">
        <v>767</v>
      </c>
    </row>
    <row r="344" spans="1:5" x14ac:dyDescent="0.2">
      <c r="A344" s="736" t="s">
        <v>1272</v>
      </c>
      <c r="B344" s="736" t="s">
        <v>1275</v>
      </c>
      <c r="C344" s="754" t="s">
        <v>143</v>
      </c>
      <c r="D344" s="736"/>
      <c r="E344" s="751" t="s">
        <v>767</v>
      </c>
    </row>
    <row r="345" spans="1:5" x14ac:dyDescent="0.2">
      <c r="A345" s="748" t="s">
        <v>1913</v>
      </c>
      <c r="B345" s="748" t="s">
        <v>1915</v>
      </c>
      <c r="C345" s="752" t="s">
        <v>143</v>
      </c>
      <c r="D345" s="748"/>
      <c r="E345" s="751" t="s">
        <v>767</v>
      </c>
    </row>
    <row r="346" spans="1:5" x14ac:dyDescent="0.2">
      <c r="A346" s="748" t="s">
        <v>677</v>
      </c>
      <c r="B346" s="748" t="s">
        <v>1136</v>
      </c>
      <c r="C346" s="752" t="s">
        <v>143</v>
      </c>
      <c r="D346" s="748"/>
      <c r="E346" s="751" t="s">
        <v>767</v>
      </c>
    </row>
    <row r="347" spans="1:5" x14ac:dyDescent="0.2">
      <c r="A347" s="748" t="s">
        <v>1959</v>
      </c>
      <c r="B347" s="748" t="s">
        <v>1907</v>
      </c>
      <c r="C347" s="752" t="s">
        <v>1815</v>
      </c>
      <c r="D347" s="748"/>
      <c r="E347" s="751" t="s">
        <v>940</v>
      </c>
    </row>
    <row r="348" spans="1:5" x14ac:dyDescent="0.2">
      <c r="A348" s="748" t="s">
        <v>1920</v>
      </c>
      <c r="B348" s="748" t="s">
        <v>1907</v>
      </c>
      <c r="C348" s="752" t="s">
        <v>1815</v>
      </c>
      <c r="D348" s="748"/>
      <c r="E348" s="751" t="s">
        <v>940</v>
      </c>
    </row>
    <row r="349" spans="1:5" x14ac:dyDescent="0.2">
      <c r="A349" s="748" t="s">
        <v>1919</v>
      </c>
      <c r="B349" s="748" t="s">
        <v>1907</v>
      </c>
      <c r="C349" s="752" t="s">
        <v>1815</v>
      </c>
      <c r="D349" s="748"/>
      <c r="E349" s="751" t="s">
        <v>940</v>
      </c>
    </row>
    <row r="350" spans="1:5" x14ac:dyDescent="0.2">
      <c r="A350" s="748" t="s">
        <v>1906</v>
      </c>
      <c r="B350" s="748" t="s">
        <v>1907</v>
      </c>
      <c r="C350" s="752" t="s">
        <v>1815</v>
      </c>
      <c r="D350" s="748"/>
      <c r="E350" s="751" t="s">
        <v>940</v>
      </c>
    </row>
    <row r="351" spans="1:5" x14ac:dyDescent="0.2">
      <c r="A351" s="748" t="s">
        <v>1916</v>
      </c>
      <c r="B351" s="748" t="s">
        <v>1907</v>
      </c>
      <c r="C351" s="752" t="s">
        <v>1815</v>
      </c>
      <c r="D351" s="748"/>
      <c r="E351" s="751" t="s">
        <v>940</v>
      </c>
    </row>
    <row r="352" spans="1:5" x14ac:dyDescent="0.2">
      <c r="A352" s="748" t="s">
        <v>1814</v>
      </c>
      <c r="B352" s="748" t="s">
        <v>1816</v>
      </c>
      <c r="C352" s="752" t="s">
        <v>1815</v>
      </c>
      <c r="D352" s="748"/>
      <c r="E352" s="751" t="s">
        <v>940</v>
      </c>
    </row>
    <row r="353" spans="1:5" x14ac:dyDescent="0.2">
      <c r="A353" s="748" t="s">
        <v>1788</v>
      </c>
      <c r="B353" s="748" t="s">
        <v>1171</v>
      </c>
      <c r="C353" s="752" t="s">
        <v>171</v>
      </c>
      <c r="D353" s="748"/>
      <c r="E353" s="751" t="s">
        <v>919</v>
      </c>
    </row>
    <row r="354" spans="1:5" x14ac:dyDescent="0.2">
      <c r="A354" s="737" t="s">
        <v>1874</v>
      </c>
      <c r="B354" s="737" t="s">
        <v>1171</v>
      </c>
      <c r="C354" s="755" t="s">
        <v>171</v>
      </c>
      <c r="E354" s="756" t="s">
        <v>919</v>
      </c>
    </row>
    <row r="355" spans="1:5" x14ac:dyDescent="0.2">
      <c r="A355" s="748" t="s">
        <v>1320</v>
      </c>
      <c r="B355" s="748" t="s">
        <v>1337</v>
      </c>
      <c r="C355" s="752" t="s">
        <v>171</v>
      </c>
      <c r="D355" s="748"/>
      <c r="E355" s="751" t="s">
        <v>919</v>
      </c>
    </row>
    <row r="356" spans="1:5" x14ac:dyDescent="0.2">
      <c r="A356" s="748" t="s">
        <v>1120</v>
      </c>
      <c r="B356" s="748" t="s">
        <v>1055</v>
      </c>
      <c r="C356" s="752" t="s">
        <v>171</v>
      </c>
      <c r="D356" s="748"/>
      <c r="E356" s="751" t="s">
        <v>919</v>
      </c>
    </row>
    <row r="357" spans="1:5" x14ac:dyDescent="0.2">
      <c r="A357" s="748" t="s">
        <v>1321</v>
      </c>
      <c r="B357" s="748" t="s">
        <v>1055</v>
      </c>
      <c r="C357" s="752" t="s">
        <v>171</v>
      </c>
      <c r="D357" s="748"/>
      <c r="E357" s="751" t="s">
        <v>919</v>
      </c>
    </row>
    <row r="358" spans="1:5" x14ac:dyDescent="0.2">
      <c r="A358" s="748" t="s">
        <v>1322</v>
      </c>
      <c r="B358" s="748" t="s">
        <v>1055</v>
      </c>
      <c r="C358" s="752" t="s">
        <v>171</v>
      </c>
      <c r="D358" s="748"/>
      <c r="E358" s="751" t="s">
        <v>919</v>
      </c>
    </row>
    <row r="359" spans="1:5" x14ac:dyDescent="0.2">
      <c r="A359" s="748" t="s">
        <v>302</v>
      </c>
      <c r="B359" s="748" t="s">
        <v>841</v>
      </c>
      <c r="C359" s="752" t="s">
        <v>144</v>
      </c>
      <c r="D359" s="748" t="s">
        <v>842</v>
      </c>
      <c r="E359" s="751" t="s">
        <v>834</v>
      </c>
    </row>
    <row r="360" spans="1:5" x14ac:dyDescent="0.2">
      <c r="A360" s="748" t="s">
        <v>1830</v>
      </c>
      <c r="B360" s="748" t="s">
        <v>1577</v>
      </c>
      <c r="C360" s="752" t="s">
        <v>144</v>
      </c>
      <c r="D360" s="748"/>
      <c r="E360" s="751" t="s">
        <v>834</v>
      </c>
    </row>
    <row r="361" spans="1:5" x14ac:dyDescent="0.2">
      <c r="A361" s="748" t="s">
        <v>1580</v>
      </c>
      <c r="B361" s="748" t="s">
        <v>1577</v>
      </c>
      <c r="C361" s="752" t="s">
        <v>144</v>
      </c>
      <c r="D361" s="748"/>
      <c r="E361" s="751" t="s">
        <v>834</v>
      </c>
    </row>
    <row r="362" spans="1:5" x14ac:dyDescent="0.2">
      <c r="A362" s="748" t="s">
        <v>1987</v>
      </c>
      <c r="B362" s="748" t="s">
        <v>1988</v>
      </c>
      <c r="C362" s="752" t="s">
        <v>144</v>
      </c>
      <c r="D362" s="748"/>
      <c r="E362" s="751" t="s">
        <v>767</v>
      </c>
    </row>
    <row r="363" spans="1:5" x14ac:dyDescent="0.2">
      <c r="A363" s="748" t="s">
        <v>1581</v>
      </c>
      <c r="B363" s="748" t="s">
        <v>1578</v>
      </c>
      <c r="C363" s="752" t="s">
        <v>144</v>
      </c>
      <c r="D363" s="748"/>
      <c r="E363" s="751" t="s">
        <v>834</v>
      </c>
    </row>
    <row r="364" spans="1:5" x14ac:dyDescent="0.2">
      <c r="A364" s="748" t="s">
        <v>1579</v>
      </c>
      <c r="B364" s="748" t="s">
        <v>843</v>
      </c>
      <c r="C364" s="752" t="s">
        <v>144</v>
      </c>
      <c r="D364" s="748" t="s">
        <v>844</v>
      </c>
      <c r="E364" s="751" t="s">
        <v>834</v>
      </c>
    </row>
    <row r="365" spans="1:5" x14ac:dyDescent="0.2">
      <c r="A365" s="748" t="s">
        <v>1612</v>
      </c>
      <c r="B365" s="748" t="s">
        <v>1611</v>
      </c>
      <c r="C365" s="752" t="s">
        <v>144</v>
      </c>
      <c r="D365" s="748"/>
      <c r="E365" s="751" t="s">
        <v>834</v>
      </c>
    </row>
    <row r="366" spans="1:5" x14ac:dyDescent="0.2">
      <c r="A366" s="748" t="s">
        <v>847</v>
      </c>
      <c r="B366" s="748" t="s">
        <v>845</v>
      </c>
      <c r="C366" s="752" t="s">
        <v>144</v>
      </c>
      <c r="D366" s="748" t="s">
        <v>846</v>
      </c>
      <c r="E366" s="751" t="s">
        <v>834</v>
      </c>
    </row>
    <row r="367" spans="1:5" x14ac:dyDescent="0.2">
      <c r="A367" s="748" t="s">
        <v>1871</v>
      </c>
      <c r="B367" s="748" t="s">
        <v>1872</v>
      </c>
      <c r="C367" s="752" t="s">
        <v>144</v>
      </c>
      <c r="D367" s="748"/>
      <c r="E367" s="751" t="s">
        <v>834</v>
      </c>
    </row>
    <row r="368" spans="1:5" ht="25.5" x14ac:dyDescent="0.2">
      <c r="A368" s="748" t="s">
        <v>1655</v>
      </c>
      <c r="B368" s="748" t="s">
        <v>1301</v>
      </c>
      <c r="C368" s="752" t="s">
        <v>144</v>
      </c>
      <c r="D368" s="748" t="s">
        <v>784</v>
      </c>
      <c r="E368" s="751" t="s">
        <v>767</v>
      </c>
    </row>
    <row r="369" spans="1:5" x14ac:dyDescent="0.2">
      <c r="A369" s="748" t="s">
        <v>1300</v>
      </c>
      <c r="B369" s="748" t="s">
        <v>1301</v>
      </c>
      <c r="C369" s="752" t="s">
        <v>144</v>
      </c>
      <c r="D369" s="748"/>
      <c r="E369" s="751" t="s">
        <v>767</v>
      </c>
    </row>
    <row r="370" spans="1:5" x14ac:dyDescent="0.2">
      <c r="A370" s="748" t="s">
        <v>1681</v>
      </c>
      <c r="B370" s="748" t="s">
        <v>1682</v>
      </c>
      <c r="C370" s="752" t="s">
        <v>144</v>
      </c>
      <c r="D370" s="748"/>
      <c r="E370" s="751" t="s">
        <v>767</v>
      </c>
    </row>
    <row r="371" spans="1:5" x14ac:dyDescent="0.2">
      <c r="A371" s="748" t="s">
        <v>301</v>
      </c>
      <c r="B371" s="748" t="s">
        <v>848</v>
      </c>
      <c r="C371" s="752" t="s">
        <v>144</v>
      </c>
      <c r="D371" s="748" t="s">
        <v>849</v>
      </c>
      <c r="E371" s="751" t="s">
        <v>834</v>
      </c>
    </row>
    <row r="372" spans="1:5" x14ac:dyDescent="0.2">
      <c r="A372" s="750" t="s">
        <v>1967</v>
      </c>
      <c r="B372" s="748" t="s">
        <v>1965</v>
      </c>
      <c r="C372" s="752" t="s">
        <v>144</v>
      </c>
      <c r="D372" s="748"/>
      <c r="E372" s="751" t="s">
        <v>834</v>
      </c>
    </row>
    <row r="373" spans="1:5" x14ac:dyDescent="0.2">
      <c r="A373" s="748" t="s">
        <v>1582</v>
      </c>
      <c r="B373" s="748" t="s">
        <v>1589</v>
      </c>
      <c r="C373" s="752" t="s">
        <v>144</v>
      </c>
      <c r="D373" s="748"/>
      <c r="E373" s="751" t="s">
        <v>834</v>
      </c>
    </row>
    <row r="374" spans="1:5" ht="25.5" x14ac:dyDescent="0.2">
      <c r="A374" s="750" t="s">
        <v>1966</v>
      </c>
      <c r="B374" s="748" t="s">
        <v>850</v>
      </c>
      <c r="C374" s="752" t="s">
        <v>144</v>
      </c>
      <c r="D374" s="748" t="s">
        <v>851</v>
      </c>
      <c r="E374" s="751" t="s">
        <v>834</v>
      </c>
    </row>
    <row r="375" spans="1:5" x14ac:dyDescent="0.2">
      <c r="A375" s="748" t="s">
        <v>1894</v>
      </c>
      <c r="B375" s="750" t="s">
        <v>850</v>
      </c>
      <c r="C375" s="749" t="s">
        <v>144</v>
      </c>
      <c r="D375" s="748"/>
      <c r="E375" s="751" t="s">
        <v>834</v>
      </c>
    </row>
    <row r="376" spans="1:5" x14ac:dyDescent="0.2">
      <c r="A376" s="748" t="s">
        <v>1892</v>
      </c>
      <c r="B376" s="750" t="s">
        <v>850</v>
      </c>
      <c r="C376" s="749" t="s">
        <v>144</v>
      </c>
      <c r="D376" s="748"/>
      <c r="E376" s="751" t="s">
        <v>834</v>
      </c>
    </row>
    <row r="377" spans="1:5" x14ac:dyDescent="0.2">
      <c r="A377" s="748" t="s">
        <v>1790</v>
      </c>
      <c r="B377" s="748" t="s">
        <v>850</v>
      </c>
      <c r="C377" s="752" t="s">
        <v>144</v>
      </c>
      <c r="D377" s="748"/>
      <c r="E377" s="751" t="s">
        <v>834</v>
      </c>
    </row>
    <row r="378" spans="1:5" ht="15.6" customHeight="1" x14ac:dyDescent="0.2">
      <c r="A378" s="748" t="s">
        <v>787</v>
      </c>
      <c r="B378" s="748" t="s">
        <v>785</v>
      </c>
      <c r="C378" s="752" t="s">
        <v>144</v>
      </c>
      <c r="D378" s="748" t="s">
        <v>786</v>
      </c>
      <c r="E378" s="751" t="s">
        <v>767</v>
      </c>
    </row>
    <row r="379" spans="1:5" x14ac:dyDescent="0.2">
      <c r="A379" s="748" t="s">
        <v>854</v>
      </c>
      <c r="B379" s="748" t="s">
        <v>852</v>
      </c>
      <c r="C379" s="752" t="s">
        <v>144</v>
      </c>
      <c r="D379" s="748" t="s">
        <v>853</v>
      </c>
      <c r="E379" s="751" t="s">
        <v>834</v>
      </c>
    </row>
    <row r="380" spans="1:5" x14ac:dyDescent="0.2">
      <c r="A380" s="748" t="s">
        <v>21</v>
      </c>
      <c r="B380" s="748" t="s">
        <v>855</v>
      </c>
      <c r="C380" s="752" t="s">
        <v>144</v>
      </c>
      <c r="D380" s="748" t="s">
        <v>856</v>
      </c>
      <c r="E380" s="751" t="s">
        <v>834</v>
      </c>
    </row>
    <row r="381" spans="1:5" x14ac:dyDescent="0.2">
      <c r="A381" s="748" t="s">
        <v>858</v>
      </c>
      <c r="B381" s="748" t="s">
        <v>857</v>
      </c>
      <c r="C381" s="752" t="s">
        <v>144</v>
      </c>
      <c r="D381" s="748" t="s">
        <v>846</v>
      </c>
      <c r="E381" s="751" t="s">
        <v>834</v>
      </c>
    </row>
    <row r="382" spans="1:5" x14ac:dyDescent="0.2">
      <c r="A382" s="748" t="s">
        <v>1893</v>
      </c>
      <c r="B382" s="750" t="s">
        <v>1895</v>
      </c>
      <c r="C382" s="749" t="s">
        <v>144</v>
      </c>
      <c r="D382" s="748"/>
      <c r="E382" s="751" t="s">
        <v>834</v>
      </c>
    </row>
    <row r="383" spans="1:5" x14ac:dyDescent="0.2">
      <c r="A383" s="748" t="s">
        <v>860</v>
      </c>
      <c r="B383" s="748" t="s">
        <v>859</v>
      </c>
      <c r="C383" s="752" t="s">
        <v>144</v>
      </c>
      <c r="D383" s="748" t="s">
        <v>846</v>
      </c>
      <c r="E383" s="751" t="s">
        <v>834</v>
      </c>
    </row>
    <row r="384" spans="1:5" x14ac:dyDescent="0.2">
      <c r="A384" s="748" t="s">
        <v>310</v>
      </c>
      <c r="B384" s="748" t="s">
        <v>1066</v>
      </c>
      <c r="C384" s="752" t="s">
        <v>149</v>
      </c>
      <c r="D384" s="748" t="s">
        <v>1067</v>
      </c>
      <c r="E384" s="751" t="s">
        <v>1022</v>
      </c>
    </row>
    <row r="385" spans="1:5" x14ac:dyDescent="0.2">
      <c r="A385" s="748" t="s">
        <v>309</v>
      </c>
      <c r="B385" s="748" t="s">
        <v>1066</v>
      </c>
      <c r="C385" s="752" t="s">
        <v>149</v>
      </c>
      <c r="D385" s="748" t="s">
        <v>1067</v>
      </c>
      <c r="E385" s="751" t="s">
        <v>1022</v>
      </c>
    </row>
    <row r="386" spans="1:5" x14ac:dyDescent="0.2">
      <c r="A386" s="748" t="s">
        <v>719</v>
      </c>
      <c r="B386" s="748" t="s">
        <v>718</v>
      </c>
      <c r="C386" s="752" t="s">
        <v>125</v>
      </c>
      <c r="D386" s="748" t="s">
        <v>88</v>
      </c>
      <c r="E386" s="751" t="s">
        <v>699</v>
      </c>
    </row>
    <row r="387" spans="1:5" ht="25.5" x14ac:dyDescent="0.2">
      <c r="A387" s="748" t="s">
        <v>311</v>
      </c>
      <c r="B387" s="748" t="s">
        <v>718</v>
      </c>
      <c r="C387" s="752" t="s">
        <v>125</v>
      </c>
      <c r="D387" s="748" t="s">
        <v>720</v>
      </c>
      <c r="E387" s="751" t="s">
        <v>699</v>
      </c>
    </row>
    <row r="388" spans="1:5" x14ac:dyDescent="0.2">
      <c r="A388" s="748" t="s">
        <v>154</v>
      </c>
      <c r="B388" s="748" t="s">
        <v>718</v>
      </c>
      <c r="C388" s="752" t="s">
        <v>125</v>
      </c>
      <c r="D388" s="748" t="s">
        <v>721</v>
      </c>
      <c r="E388" s="751" t="s">
        <v>699</v>
      </c>
    </row>
    <row r="389" spans="1:5" x14ac:dyDescent="0.2">
      <c r="A389" s="748" t="s">
        <v>161</v>
      </c>
      <c r="B389" s="748" t="s">
        <v>722</v>
      </c>
      <c r="C389" s="752" t="s">
        <v>125</v>
      </c>
      <c r="D389" s="748" t="s">
        <v>723</v>
      </c>
      <c r="E389" s="751" t="s">
        <v>699</v>
      </c>
    </row>
    <row r="390" spans="1:5" x14ac:dyDescent="0.2">
      <c r="A390" s="748" t="s">
        <v>313</v>
      </c>
      <c r="B390" s="748" t="s">
        <v>724</v>
      </c>
      <c r="C390" s="752" t="s">
        <v>125</v>
      </c>
      <c r="D390" s="748"/>
      <c r="E390" s="751" t="s">
        <v>699</v>
      </c>
    </row>
    <row r="391" spans="1:5" x14ac:dyDescent="0.2">
      <c r="A391" s="748" t="s">
        <v>316</v>
      </c>
      <c r="B391" s="748" t="s">
        <v>725</v>
      </c>
      <c r="C391" s="752" t="s">
        <v>125</v>
      </c>
      <c r="D391" s="748" t="s">
        <v>316</v>
      </c>
      <c r="E391" s="751" t="s">
        <v>699</v>
      </c>
    </row>
    <row r="392" spans="1:5" x14ac:dyDescent="0.2">
      <c r="A392" s="748" t="s">
        <v>315</v>
      </c>
      <c r="B392" s="748" t="s">
        <v>1203</v>
      </c>
      <c r="C392" s="752" t="s">
        <v>125</v>
      </c>
      <c r="D392" s="748"/>
      <c r="E392" s="751" t="s">
        <v>699</v>
      </c>
    </row>
    <row r="393" spans="1:5" ht="15" customHeight="1" x14ac:dyDescent="0.2">
      <c r="A393" s="748" t="s">
        <v>728</v>
      </c>
      <c r="B393" s="748" t="s">
        <v>726</v>
      </c>
      <c r="C393" s="752" t="s">
        <v>125</v>
      </c>
      <c r="D393" s="748" t="s">
        <v>727</v>
      </c>
      <c r="E393" s="751" t="s">
        <v>699</v>
      </c>
    </row>
    <row r="394" spans="1:5" x14ac:dyDescent="0.2">
      <c r="A394" s="748" t="s">
        <v>730</v>
      </c>
      <c r="B394" s="748" t="s">
        <v>729</v>
      </c>
      <c r="C394" s="752" t="s">
        <v>125</v>
      </c>
      <c r="D394" s="748"/>
      <c r="E394" s="751" t="s">
        <v>699</v>
      </c>
    </row>
    <row r="395" spans="1:5" x14ac:dyDescent="0.2">
      <c r="A395" s="748" t="s">
        <v>1200</v>
      </c>
      <c r="B395" s="748" t="s">
        <v>1212</v>
      </c>
      <c r="C395" s="752" t="s">
        <v>158</v>
      </c>
      <c r="D395" s="748"/>
      <c r="E395" s="751" t="s">
        <v>963</v>
      </c>
    </row>
    <row r="396" spans="1:5" x14ac:dyDescent="0.2">
      <c r="A396" s="748" t="s">
        <v>1964</v>
      </c>
      <c r="B396" s="748" t="s">
        <v>980</v>
      </c>
      <c r="C396" s="752" t="s">
        <v>158</v>
      </c>
      <c r="D396" s="748"/>
      <c r="E396" s="751" t="s">
        <v>963</v>
      </c>
    </row>
    <row r="397" spans="1:5" x14ac:dyDescent="0.2">
      <c r="A397" s="748" t="s">
        <v>981</v>
      </c>
      <c r="B397" s="748" t="s">
        <v>980</v>
      </c>
      <c r="C397" s="752" t="s">
        <v>158</v>
      </c>
      <c r="D397" s="748" t="s">
        <v>979</v>
      </c>
      <c r="E397" s="751" t="s">
        <v>963</v>
      </c>
    </row>
    <row r="398" spans="1:5" ht="13.5" customHeight="1" x14ac:dyDescent="0.2">
      <c r="A398" s="748" t="s">
        <v>2005</v>
      </c>
      <c r="B398" s="748" t="s">
        <v>2007</v>
      </c>
      <c r="C398" s="752" t="s">
        <v>2007</v>
      </c>
      <c r="D398" s="748"/>
      <c r="E398" s="751" t="s">
        <v>1103</v>
      </c>
    </row>
    <row r="399" spans="1:5" x14ac:dyDescent="0.2">
      <c r="A399" s="748" t="s">
        <v>1641</v>
      </c>
      <c r="B399" s="748" t="s">
        <v>1642</v>
      </c>
      <c r="C399" s="752" t="s">
        <v>136</v>
      </c>
      <c r="D399" s="748"/>
      <c r="E399" s="751" t="s">
        <v>1486</v>
      </c>
    </row>
    <row r="400" spans="1:5" x14ac:dyDescent="0.2">
      <c r="A400" s="748" t="s">
        <v>1828</v>
      </c>
      <c r="B400" s="748" t="s">
        <v>1829</v>
      </c>
      <c r="C400" s="752" t="s">
        <v>136</v>
      </c>
      <c r="D400" s="748"/>
      <c r="E400" s="751" t="s">
        <v>1486</v>
      </c>
    </row>
    <row r="401" spans="1:5" x14ac:dyDescent="0.2">
      <c r="A401" s="748" t="s">
        <v>2015</v>
      </c>
      <c r="B401" s="748" t="s">
        <v>2016</v>
      </c>
      <c r="C401" s="752" t="s">
        <v>136</v>
      </c>
      <c r="D401" s="748"/>
      <c r="E401" s="751" t="s">
        <v>1486</v>
      </c>
    </row>
    <row r="402" spans="1:5" x14ac:dyDescent="0.2">
      <c r="A402" s="762" t="s">
        <v>1888</v>
      </c>
      <c r="B402" s="748" t="s">
        <v>1890</v>
      </c>
      <c r="C402" s="752" t="s">
        <v>136</v>
      </c>
      <c r="D402" s="748"/>
      <c r="E402" s="751" t="s">
        <v>1486</v>
      </c>
    </row>
    <row r="403" spans="1:5" x14ac:dyDescent="0.2">
      <c r="A403" s="748" t="s">
        <v>1122</v>
      </c>
      <c r="B403" s="748" t="s">
        <v>1107</v>
      </c>
      <c r="C403" s="752" t="s">
        <v>136</v>
      </c>
      <c r="D403" s="748" t="s">
        <v>1121</v>
      </c>
      <c r="E403" s="751" t="s">
        <v>1486</v>
      </c>
    </row>
    <row r="404" spans="1:5" x14ac:dyDescent="0.2">
      <c r="A404" s="748" t="s">
        <v>318</v>
      </c>
      <c r="B404" s="748" t="s">
        <v>1123</v>
      </c>
      <c r="C404" s="752" t="s">
        <v>136</v>
      </c>
      <c r="D404" s="748" t="s">
        <v>1124</v>
      </c>
      <c r="E404" s="751" t="s">
        <v>1486</v>
      </c>
    </row>
    <row r="405" spans="1:5" ht="12.75" customHeight="1" x14ac:dyDescent="0.2">
      <c r="A405" s="748" t="s">
        <v>320</v>
      </c>
      <c r="B405" s="748" t="s">
        <v>1125</v>
      </c>
      <c r="C405" s="752" t="s">
        <v>136</v>
      </c>
      <c r="D405" s="748" t="s">
        <v>1126</v>
      </c>
      <c r="E405" s="751" t="s">
        <v>1486</v>
      </c>
    </row>
    <row r="406" spans="1:5" x14ac:dyDescent="0.2">
      <c r="A406" s="748" t="s">
        <v>1377</v>
      </c>
      <c r="B406" s="748" t="s">
        <v>1447</v>
      </c>
      <c r="C406" s="752" t="s">
        <v>136</v>
      </c>
      <c r="D406" s="748"/>
      <c r="E406" s="751" t="s">
        <v>1486</v>
      </c>
    </row>
    <row r="407" spans="1:5" x14ac:dyDescent="0.2">
      <c r="A407" s="748" t="s">
        <v>565</v>
      </c>
      <c r="B407" s="748" t="s">
        <v>1127</v>
      </c>
      <c r="C407" s="752" t="s">
        <v>136</v>
      </c>
      <c r="D407" s="748"/>
      <c r="E407" s="751" t="s">
        <v>1486</v>
      </c>
    </row>
    <row r="408" spans="1:5" x14ac:dyDescent="0.2">
      <c r="A408" s="748" t="s">
        <v>1376</v>
      </c>
      <c r="B408" s="748" t="s">
        <v>1127</v>
      </c>
      <c r="C408" s="752" t="s">
        <v>136</v>
      </c>
      <c r="D408" s="748"/>
      <c r="E408" s="751" t="s">
        <v>1486</v>
      </c>
    </row>
    <row r="409" spans="1:5" x14ac:dyDescent="0.2">
      <c r="A409" s="748" t="s">
        <v>1378</v>
      </c>
      <c r="B409" s="748" t="s">
        <v>1127</v>
      </c>
      <c r="C409" s="752" t="s">
        <v>136</v>
      </c>
      <c r="D409" s="748"/>
      <c r="E409" s="751" t="s">
        <v>1486</v>
      </c>
    </row>
    <row r="410" spans="1:5" ht="15" customHeight="1" x14ac:dyDescent="0.2">
      <c r="A410" s="748" t="s">
        <v>1805</v>
      </c>
      <c r="B410" s="748" t="s">
        <v>1806</v>
      </c>
      <c r="C410" s="752" t="s">
        <v>136</v>
      </c>
      <c r="D410" s="748"/>
      <c r="E410" s="751" t="s">
        <v>1486</v>
      </c>
    </row>
    <row r="411" spans="1:5" x14ac:dyDescent="0.2">
      <c r="A411" s="748" t="s">
        <v>1944</v>
      </c>
      <c r="B411" s="748" t="s">
        <v>1946</v>
      </c>
      <c r="C411" s="752" t="s">
        <v>126</v>
      </c>
      <c r="D411" s="748"/>
      <c r="E411" s="751" t="s">
        <v>940</v>
      </c>
    </row>
    <row r="412" spans="1:5" x14ac:dyDescent="0.2">
      <c r="A412" s="748" t="s">
        <v>328</v>
      </c>
      <c r="B412" s="748" t="s">
        <v>944</v>
      </c>
      <c r="C412" s="752" t="s">
        <v>126</v>
      </c>
      <c r="D412" s="748"/>
      <c r="E412" s="751" t="s">
        <v>940</v>
      </c>
    </row>
    <row r="413" spans="1:5" x14ac:dyDescent="0.2">
      <c r="A413" s="748" t="s">
        <v>947</v>
      </c>
      <c r="B413" s="748" t="s">
        <v>945</v>
      </c>
      <c r="C413" s="752" t="s">
        <v>126</v>
      </c>
      <c r="D413" s="748" t="s">
        <v>946</v>
      </c>
      <c r="E413" s="751" t="s">
        <v>940</v>
      </c>
    </row>
    <row r="414" spans="1:5" x14ac:dyDescent="0.2">
      <c r="A414" s="748" t="s">
        <v>1185</v>
      </c>
      <c r="B414" s="748" t="s">
        <v>945</v>
      </c>
      <c r="C414" s="752" t="s">
        <v>126</v>
      </c>
      <c r="D414" s="748"/>
      <c r="E414" s="751" t="s">
        <v>940</v>
      </c>
    </row>
    <row r="415" spans="1:5" x14ac:dyDescent="0.2">
      <c r="A415" s="748" t="s">
        <v>1677</v>
      </c>
      <c r="B415" s="748" t="s">
        <v>945</v>
      </c>
      <c r="C415" s="752" t="s">
        <v>126</v>
      </c>
      <c r="D415" s="748"/>
      <c r="E415" s="751" t="s">
        <v>940</v>
      </c>
    </row>
    <row r="416" spans="1:5" x14ac:dyDescent="0.2">
      <c r="A416" s="748" t="s">
        <v>1588</v>
      </c>
      <c r="B416" s="748" t="s">
        <v>945</v>
      </c>
      <c r="C416" s="752" t="s">
        <v>126</v>
      </c>
      <c r="D416" s="748"/>
      <c r="E416" s="751" t="s">
        <v>940</v>
      </c>
    </row>
    <row r="417" spans="1:8" x14ac:dyDescent="0.2">
      <c r="A417" s="748" t="s">
        <v>949</v>
      </c>
      <c r="B417" s="748" t="s">
        <v>948</v>
      </c>
      <c r="C417" s="752" t="s">
        <v>126</v>
      </c>
      <c r="D417" s="748"/>
      <c r="E417" s="751" t="s">
        <v>940</v>
      </c>
    </row>
    <row r="418" spans="1:8" x14ac:dyDescent="0.2">
      <c r="A418" s="748" t="s">
        <v>952</v>
      </c>
      <c r="B418" s="748" t="s">
        <v>950</v>
      </c>
      <c r="C418" s="752" t="s">
        <v>126</v>
      </c>
      <c r="D418" s="748" t="s">
        <v>951</v>
      </c>
      <c r="E418" s="751" t="s">
        <v>940</v>
      </c>
    </row>
    <row r="419" spans="1:8" x14ac:dyDescent="0.2">
      <c r="A419" s="748" t="s">
        <v>1854</v>
      </c>
      <c r="B419" s="748" t="s">
        <v>1855</v>
      </c>
      <c r="C419" s="752" t="s">
        <v>126</v>
      </c>
      <c r="D419" s="748"/>
      <c r="E419" s="751" t="s">
        <v>940</v>
      </c>
    </row>
    <row r="420" spans="1:8" x14ac:dyDescent="0.2">
      <c r="A420" s="748" t="s">
        <v>1970</v>
      </c>
      <c r="B420" s="748" t="s">
        <v>953</v>
      </c>
      <c r="C420" s="752" t="s">
        <v>126</v>
      </c>
      <c r="D420" s="748"/>
      <c r="E420" s="751" t="s">
        <v>1347</v>
      </c>
    </row>
    <row r="421" spans="1:8" x14ac:dyDescent="0.2">
      <c r="A421" s="748" t="s">
        <v>1384</v>
      </c>
      <c r="B421" s="748" t="s">
        <v>953</v>
      </c>
      <c r="C421" s="752" t="s">
        <v>126</v>
      </c>
      <c r="D421" s="748" t="s">
        <v>946</v>
      </c>
      <c r="E421" s="751" t="s">
        <v>940</v>
      </c>
    </row>
    <row r="422" spans="1:8" ht="16.149999999999999" customHeight="1" x14ac:dyDescent="0.2">
      <c r="A422" s="748" t="s">
        <v>1713</v>
      </c>
      <c r="B422" s="748" t="s">
        <v>953</v>
      </c>
      <c r="C422" s="752" t="s">
        <v>126</v>
      </c>
      <c r="D422" s="748"/>
      <c r="E422" s="751" t="s">
        <v>940</v>
      </c>
    </row>
    <row r="423" spans="1:8" x14ac:dyDescent="0.2">
      <c r="A423" s="748" t="s">
        <v>352</v>
      </c>
      <c r="B423" s="748" t="s">
        <v>953</v>
      </c>
      <c r="C423" s="752" t="s">
        <v>126</v>
      </c>
      <c r="D423" s="748" t="s">
        <v>955</v>
      </c>
      <c r="E423" s="751" t="s">
        <v>940</v>
      </c>
    </row>
    <row r="424" spans="1:8" x14ac:dyDescent="0.2">
      <c r="A424" s="748" t="s">
        <v>1711</v>
      </c>
      <c r="B424" s="748" t="s">
        <v>953</v>
      </c>
      <c r="C424" s="752" t="s">
        <v>126</v>
      </c>
      <c r="D424" s="748"/>
      <c r="E424" s="751" t="s">
        <v>940</v>
      </c>
    </row>
    <row r="425" spans="1:8" x14ac:dyDescent="0.2">
      <c r="A425" s="748" t="s">
        <v>1710</v>
      </c>
      <c r="B425" s="748" t="s">
        <v>953</v>
      </c>
      <c r="C425" s="752" t="s">
        <v>126</v>
      </c>
      <c r="D425" s="748"/>
      <c r="E425" s="751" t="s">
        <v>940</v>
      </c>
    </row>
    <row r="426" spans="1:8" x14ac:dyDescent="0.2">
      <c r="A426" s="748" t="s">
        <v>1712</v>
      </c>
      <c r="B426" s="748" t="s">
        <v>953</v>
      </c>
      <c r="C426" s="752" t="s">
        <v>126</v>
      </c>
      <c r="D426" s="748"/>
      <c r="E426" s="751" t="s">
        <v>940</v>
      </c>
    </row>
    <row r="427" spans="1:8" ht="14.25" customHeight="1" x14ac:dyDescent="0.2">
      <c r="A427" s="748" t="s">
        <v>1714</v>
      </c>
      <c r="B427" s="748" t="s">
        <v>953</v>
      </c>
      <c r="C427" s="752" t="s">
        <v>126</v>
      </c>
      <c r="D427" s="748"/>
      <c r="E427" s="751" t="s">
        <v>940</v>
      </c>
    </row>
    <row r="428" spans="1:8" x14ac:dyDescent="0.2">
      <c r="A428" s="748" t="s">
        <v>350</v>
      </c>
      <c r="B428" s="748" t="s">
        <v>953</v>
      </c>
      <c r="C428" s="752" t="s">
        <v>126</v>
      </c>
      <c r="D428" s="748" t="s">
        <v>955</v>
      </c>
      <c r="E428" s="751" t="s">
        <v>940</v>
      </c>
    </row>
    <row r="429" spans="1:8" x14ac:dyDescent="0.2">
      <c r="A429" s="748" t="s">
        <v>1715</v>
      </c>
      <c r="B429" s="748" t="s">
        <v>953</v>
      </c>
      <c r="C429" s="752" t="s">
        <v>126</v>
      </c>
      <c r="D429" s="748"/>
      <c r="E429" s="751" t="s">
        <v>940</v>
      </c>
    </row>
    <row r="430" spans="1:8" x14ac:dyDescent="0.2">
      <c r="A430" s="748" t="s">
        <v>2017</v>
      </c>
      <c r="B430" s="748" t="s">
        <v>2018</v>
      </c>
      <c r="C430" s="752" t="s">
        <v>126</v>
      </c>
      <c r="D430" s="748"/>
      <c r="E430" s="751" t="s">
        <v>940</v>
      </c>
    </row>
    <row r="431" spans="1:8" x14ac:dyDescent="0.2">
      <c r="A431" s="748" t="s">
        <v>957</v>
      </c>
      <c r="B431" s="748" t="s">
        <v>956</v>
      </c>
      <c r="C431" s="752" t="s">
        <v>126</v>
      </c>
      <c r="D431" s="748" t="s">
        <v>954</v>
      </c>
      <c r="E431" s="751" t="s">
        <v>940</v>
      </c>
    </row>
    <row r="432" spans="1:8" ht="14.45" customHeight="1" x14ac:dyDescent="0.2">
      <c r="A432" s="748" t="s">
        <v>1437</v>
      </c>
      <c r="B432" s="748" t="s">
        <v>1665</v>
      </c>
      <c r="C432" s="752" t="s">
        <v>126</v>
      </c>
      <c r="D432" s="748"/>
      <c r="E432" s="751" t="s">
        <v>940</v>
      </c>
      <c r="H432" s="763"/>
    </row>
    <row r="433" spans="1:5" x14ac:dyDescent="0.2">
      <c r="A433" s="748" t="s">
        <v>959</v>
      </c>
      <c r="B433" s="748" t="s">
        <v>958</v>
      </c>
      <c r="C433" s="752" t="s">
        <v>126</v>
      </c>
      <c r="D433" s="748" t="s">
        <v>946</v>
      </c>
      <c r="E433" s="751" t="s">
        <v>940</v>
      </c>
    </row>
    <row r="434" spans="1:5" ht="13.9" customHeight="1" x14ac:dyDescent="0.2">
      <c r="A434" s="748" t="s">
        <v>1683</v>
      </c>
      <c r="B434" s="748" t="s">
        <v>1684</v>
      </c>
      <c r="C434" s="752" t="s">
        <v>126</v>
      </c>
      <c r="D434" s="748"/>
      <c r="E434" s="751" t="s">
        <v>940</v>
      </c>
    </row>
    <row r="435" spans="1:5" x14ac:dyDescent="0.2">
      <c r="A435" s="748" t="s">
        <v>961</v>
      </c>
      <c r="B435" s="748" t="s">
        <v>960</v>
      </c>
      <c r="C435" s="752" t="s">
        <v>126</v>
      </c>
      <c r="D435" s="748"/>
      <c r="E435" s="751" t="s">
        <v>940</v>
      </c>
    </row>
    <row r="436" spans="1:5" x14ac:dyDescent="0.2">
      <c r="A436" s="748" t="s">
        <v>327</v>
      </c>
      <c r="B436" s="748" t="s">
        <v>960</v>
      </c>
      <c r="C436" s="752" t="s">
        <v>126</v>
      </c>
      <c r="D436" s="748" t="s">
        <v>951</v>
      </c>
      <c r="E436" s="751" t="s">
        <v>940</v>
      </c>
    </row>
    <row r="437" spans="1:5" x14ac:dyDescent="0.2">
      <c r="A437" s="748" t="s">
        <v>1928</v>
      </c>
      <c r="B437" s="748" t="s">
        <v>1929</v>
      </c>
      <c r="C437" s="752" t="s">
        <v>126</v>
      </c>
      <c r="D437" s="748"/>
      <c r="E437" s="751" t="s">
        <v>940</v>
      </c>
    </row>
    <row r="438" spans="1:5" ht="14.45" customHeight="1" x14ac:dyDescent="0.2">
      <c r="A438" s="748" t="s">
        <v>323</v>
      </c>
      <c r="B438" s="748" t="s">
        <v>962</v>
      </c>
      <c r="C438" s="752" t="s">
        <v>126</v>
      </c>
      <c r="D438" s="748" t="s">
        <v>946</v>
      </c>
      <c r="E438" s="751" t="s">
        <v>940</v>
      </c>
    </row>
    <row r="439" spans="1:5" ht="15.75" customHeight="1" x14ac:dyDescent="0.2">
      <c r="A439" s="748" t="s">
        <v>1930</v>
      </c>
      <c r="B439" s="748" t="s">
        <v>1931</v>
      </c>
      <c r="C439" s="752" t="s">
        <v>126</v>
      </c>
      <c r="D439" s="748"/>
      <c r="E439" s="751" t="s">
        <v>940</v>
      </c>
    </row>
    <row r="440" spans="1:5" x14ac:dyDescent="0.2">
      <c r="A440" s="748" t="s">
        <v>330</v>
      </c>
      <c r="B440" s="748" t="s">
        <v>917</v>
      </c>
      <c r="C440" s="752" t="s">
        <v>164</v>
      </c>
      <c r="D440" s="748" t="s">
        <v>918</v>
      </c>
      <c r="E440" s="751" t="s">
        <v>893</v>
      </c>
    </row>
    <row r="441" spans="1:5" x14ac:dyDescent="0.2">
      <c r="A441" s="748" t="s">
        <v>1073</v>
      </c>
      <c r="B441" s="748" t="s">
        <v>1071</v>
      </c>
      <c r="C441" s="752" t="s">
        <v>128</v>
      </c>
      <c r="D441" s="748" t="s">
        <v>1072</v>
      </c>
      <c r="E441" s="751" t="s">
        <v>1070</v>
      </c>
    </row>
    <row r="442" spans="1:5" x14ac:dyDescent="0.2">
      <c r="A442" s="748" t="s">
        <v>1074</v>
      </c>
      <c r="B442" s="748" t="s">
        <v>1071</v>
      </c>
      <c r="C442" s="752" t="s">
        <v>128</v>
      </c>
      <c r="D442" s="748" t="s">
        <v>1072</v>
      </c>
      <c r="E442" s="751" t="s">
        <v>1070</v>
      </c>
    </row>
    <row r="443" spans="1:5" x14ac:dyDescent="0.2">
      <c r="A443" s="748" t="s">
        <v>1831</v>
      </c>
      <c r="B443" s="748" t="s">
        <v>1075</v>
      </c>
      <c r="C443" s="752" t="s">
        <v>128</v>
      </c>
      <c r="D443" s="748"/>
      <c r="E443" s="751" t="s">
        <v>1070</v>
      </c>
    </row>
    <row r="444" spans="1:5" x14ac:dyDescent="0.2">
      <c r="A444" s="748" t="s">
        <v>338</v>
      </c>
      <c r="B444" s="748" t="s">
        <v>1075</v>
      </c>
      <c r="C444" s="752" t="s">
        <v>128</v>
      </c>
      <c r="D444" s="748" t="s">
        <v>1076</v>
      </c>
      <c r="E444" s="751" t="s">
        <v>1070</v>
      </c>
    </row>
    <row r="445" spans="1:5" x14ac:dyDescent="0.2">
      <c r="A445" s="748" t="s">
        <v>1078</v>
      </c>
      <c r="B445" s="748" t="s">
        <v>1077</v>
      </c>
      <c r="C445" s="752" t="s">
        <v>128</v>
      </c>
      <c r="D445" s="748" t="s">
        <v>1072</v>
      </c>
      <c r="E445" s="751" t="s">
        <v>1070</v>
      </c>
    </row>
    <row r="446" spans="1:5" x14ac:dyDescent="0.2">
      <c r="A446" s="748" t="s">
        <v>1080</v>
      </c>
      <c r="B446" s="748" t="s">
        <v>1079</v>
      </c>
      <c r="C446" s="752" t="s">
        <v>128</v>
      </c>
      <c r="D446" s="748" t="s">
        <v>1072</v>
      </c>
      <c r="E446" s="751" t="s">
        <v>1070</v>
      </c>
    </row>
    <row r="447" spans="1:5" x14ac:dyDescent="0.2">
      <c r="A447" s="748" t="s">
        <v>55</v>
      </c>
      <c r="B447" s="748" t="s">
        <v>1081</v>
      </c>
      <c r="C447" s="752" t="s">
        <v>128</v>
      </c>
      <c r="D447" s="748" t="s">
        <v>1082</v>
      </c>
      <c r="E447" s="751" t="s">
        <v>1070</v>
      </c>
    </row>
    <row r="448" spans="1:5" x14ac:dyDescent="0.2">
      <c r="A448" s="748" t="s">
        <v>1083</v>
      </c>
      <c r="B448" s="748" t="s">
        <v>740</v>
      </c>
      <c r="C448" s="752" t="s">
        <v>128</v>
      </c>
      <c r="D448" s="748"/>
      <c r="E448" s="751" t="s">
        <v>1070</v>
      </c>
    </row>
    <row r="449" spans="1:6" ht="14.45" customHeight="1" x14ac:dyDescent="0.2">
      <c r="A449" s="748" t="s">
        <v>5</v>
      </c>
      <c r="B449" s="748" t="s">
        <v>1084</v>
      </c>
      <c r="C449" s="752" t="s">
        <v>128</v>
      </c>
      <c r="D449" s="748" t="s">
        <v>1085</v>
      </c>
      <c r="E449" s="751" t="s">
        <v>1070</v>
      </c>
    </row>
    <row r="450" spans="1:6" x14ac:dyDescent="0.2">
      <c r="A450" s="748" t="s">
        <v>1087</v>
      </c>
      <c r="B450" s="748" t="s">
        <v>1086</v>
      </c>
      <c r="C450" s="752" t="s">
        <v>128</v>
      </c>
      <c r="D450" s="748" t="s">
        <v>1072</v>
      </c>
      <c r="E450" s="751" t="s">
        <v>1070</v>
      </c>
      <c r="F450" s="736"/>
    </row>
    <row r="451" spans="1:6" x14ac:dyDescent="0.2">
      <c r="A451" s="748" t="s">
        <v>1487</v>
      </c>
      <c r="B451" s="748" t="s">
        <v>1488</v>
      </c>
      <c r="C451" s="752" t="s">
        <v>128</v>
      </c>
      <c r="D451" s="748"/>
      <c r="E451" s="751" t="s">
        <v>1070</v>
      </c>
    </row>
    <row r="452" spans="1:6" x14ac:dyDescent="0.2">
      <c r="A452" s="748" t="s">
        <v>3</v>
      </c>
      <c r="B452" s="748" t="s">
        <v>1088</v>
      </c>
      <c r="C452" s="752" t="s">
        <v>128</v>
      </c>
      <c r="D452" s="748" t="s">
        <v>1085</v>
      </c>
      <c r="E452" s="751" t="s">
        <v>1070</v>
      </c>
    </row>
    <row r="453" spans="1:6" ht="13.5" customHeight="1" x14ac:dyDescent="0.2">
      <c r="A453" s="748" t="s">
        <v>1089</v>
      </c>
      <c r="B453" s="748" t="s">
        <v>1088</v>
      </c>
      <c r="C453" s="752" t="s">
        <v>128</v>
      </c>
      <c r="D453" s="748" t="s">
        <v>1085</v>
      </c>
      <c r="E453" s="751" t="s">
        <v>1070</v>
      </c>
    </row>
    <row r="454" spans="1:6" x14ac:dyDescent="0.2">
      <c r="A454" s="748" t="s">
        <v>335</v>
      </c>
      <c r="B454" s="748" t="s">
        <v>1090</v>
      </c>
      <c r="C454" s="752" t="s">
        <v>128</v>
      </c>
      <c r="D454" s="748" t="s">
        <v>1091</v>
      </c>
      <c r="E454" s="751" t="s">
        <v>1070</v>
      </c>
    </row>
    <row r="455" spans="1:6" x14ac:dyDescent="0.2">
      <c r="A455" s="748" t="s">
        <v>1092</v>
      </c>
      <c r="B455" s="748" t="s">
        <v>1090</v>
      </c>
      <c r="C455" s="752" t="s">
        <v>128</v>
      </c>
      <c r="D455" s="748" t="s">
        <v>1091</v>
      </c>
      <c r="E455" s="751" t="s">
        <v>1070</v>
      </c>
    </row>
    <row r="456" spans="1:6" x14ac:dyDescent="0.2">
      <c r="A456" s="748" t="s">
        <v>1509</v>
      </c>
      <c r="B456" s="748" t="s">
        <v>1090</v>
      </c>
      <c r="C456" s="752" t="s">
        <v>128</v>
      </c>
      <c r="E456" s="751" t="s">
        <v>1070</v>
      </c>
    </row>
    <row r="457" spans="1:6" x14ac:dyDescent="0.2">
      <c r="A457" s="748" t="s">
        <v>331</v>
      </c>
      <c r="B457" s="748" t="s">
        <v>1093</v>
      </c>
      <c r="C457" s="752" t="s">
        <v>128</v>
      </c>
      <c r="D457" s="748" t="s">
        <v>1094</v>
      </c>
      <c r="E457" s="751" t="s">
        <v>1070</v>
      </c>
    </row>
    <row r="458" spans="1:6" x14ac:dyDescent="0.2">
      <c r="A458" s="748" t="s">
        <v>1963</v>
      </c>
      <c r="B458" s="748" t="s">
        <v>1093</v>
      </c>
      <c r="C458" s="752" t="s">
        <v>128</v>
      </c>
      <c r="D458" s="748"/>
      <c r="E458" s="751" t="s">
        <v>1070</v>
      </c>
    </row>
    <row r="459" spans="1:6" x14ac:dyDescent="0.2">
      <c r="A459" s="748" t="s">
        <v>220</v>
      </c>
      <c r="B459" s="748" t="s">
        <v>1095</v>
      </c>
      <c r="C459" s="752" t="s">
        <v>128</v>
      </c>
      <c r="D459" s="759" t="s">
        <v>1085</v>
      </c>
      <c r="E459" s="751" t="s">
        <v>1070</v>
      </c>
    </row>
    <row r="460" spans="1:6" x14ac:dyDescent="0.2">
      <c r="A460" s="748" t="s">
        <v>6</v>
      </c>
      <c r="B460" s="748" t="s">
        <v>1096</v>
      </c>
      <c r="C460" s="752" t="s">
        <v>128</v>
      </c>
      <c r="D460" s="748" t="s">
        <v>1085</v>
      </c>
      <c r="E460" s="751" t="s">
        <v>1070</v>
      </c>
    </row>
    <row r="461" spans="1:6" x14ac:dyDescent="0.2">
      <c r="A461" s="748" t="s">
        <v>63</v>
      </c>
      <c r="B461" s="748" t="s">
        <v>1097</v>
      </c>
      <c r="C461" s="752" t="s">
        <v>128</v>
      </c>
      <c r="D461" s="748" t="s">
        <v>1085</v>
      </c>
      <c r="E461" s="751" t="s">
        <v>1070</v>
      </c>
    </row>
    <row r="462" spans="1:6" x14ac:dyDescent="0.2">
      <c r="A462" s="748" t="s">
        <v>4</v>
      </c>
      <c r="B462" s="748" t="s">
        <v>1097</v>
      </c>
      <c r="C462" s="752" t="s">
        <v>128</v>
      </c>
      <c r="D462" s="748" t="s">
        <v>1085</v>
      </c>
      <c r="E462" s="751" t="s">
        <v>1070</v>
      </c>
    </row>
    <row r="463" spans="1:6" x14ac:dyDescent="0.2">
      <c r="A463" s="748" t="s">
        <v>340</v>
      </c>
      <c r="B463" s="748" t="s">
        <v>1098</v>
      </c>
      <c r="C463" s="752" t="s">
        <v>128</v>
      </c>
      <c r="D463" s="748" t="s">
        <v>1085</v>
      </c>
      <c r="E463" s="751" t="s">
        <v>1070</v>
      </c>
    </row>
    <row r="464" spans="1:6" ht="14.25" customHeight="1" x14ac:dyDescent="0.2">
      <c r="A464" s="748" t="s">
        <v>45</v>
      </c>
      <c r="B464" s="748" t="s">
        <v>83</v>
      </c>
      <c r="C464" s="752" t="s">
        <v>128</v>
      </c>
      <c r="D464" s="748" t="s">
        <v>1099</v>
      </c>
      <c r="E464" s="751" t="s">
        <v>1070</v>
      </c>
    </row>
    <row r="465" spans="1:5" x14ac:dyDescent="0.2">
      <c r="A465" s="748" t="s">
        <v>1317</v>
      </c>
      <c r="B465" s="748" t="s">
        <v>1450</v>
      </c>
      <c r="C465" s="752" t="s">
        <v>128</v>
      </c>
      <c r="D465" s="748"/>
      <c r="E465" s="751" t="s">
        <v>1070</v>
      </c>
    </row>
    <row r="466" spans="1:5" x14ac:dyDescent="0.2">
      <c r="A466" s="748" t="s">
        <v>1069</v>
      </c>
      <c r="B466" s="748" t="s">
        <v>702</v>
      </c>
      <c r="C466" s="752" t="s">
        <v>147</v>
      </c>
      <c r="D466" s="748" t="s">
        <v>1068</v>
      </c>
      <c r="E466" s="751" t="s">
        <v>1022</v>
      </c>
    </row>
    <row r="467" spans="1:5" x14ac:dyDescent="0.2">
      <c r="A467" s="748" t="s">
        <v>1330</v>
      </c>
      <c r="B467" s="748" t="s">
        <v>1338</v>
      </c>
      <c r="C467" s="752" t="s">
        <v>151</v>
      </c>
      <c r="D467" s="748"/>
      <c r="E467" s="751" t="s">
        <v>919</v>
      </c>
    </row>
    <row r="468" spans="1:5" s="761" customFormat="1" x14ac:dyDescent="0.25">
      <c r="A468" s="748" t="s">
        <v>1325</v>
      </c>
      <c r="B468" s="748" t="s">
        <v>1338</v>
      </c>
      <c r="C468" s="752" t="s">
        <v>151</v>
      </c>
      <c r="D468" s="748"/>
      <c r="E468" s="751" t="s">
        <v>919</v>
      </c>
    </row>
    <row r="469" spans="1:5" x14ac:dyDescent="0.2">
      <c r="A469" s="748" t="s">
        <v>1323</v>
      </c>
      <c r="B469" s="748" t="s">
        <v>1339</v>
      </c>
      <c r="C469" s="752" t="s">
        <v>151</v>
      </c>
      <c r="D469" s="748"/>
      <c r="E469" s="751" t="s">
        <v>919</v>
      </c>
    </row>
    <row r="470" spans="1:5" x14ac:dyDescent="0.2">
      <c r="A470" s="748" t="s">
        <v>1327</v>
      </c>
      <c r="B470" s="748" t="s">
        <v>1340</v>
      </c>
      <c r="C470" s="752" t="s">
        <v>151</v>
      </c>
      <c r="D470" s="748"/>
      <c r="E470" s="751" t="s">
        <v>919</v>
      </c>
    </row>
    <row r="471" spans="1:5" x14ac:dyDescent="0.2">
      <c r="A471" s="760" t="s">
        <v>1129</v>
      </c>
      <c r="B471" s="748" t="s">
        <v>1128</v>
      </c>
      <c r="C471" s="752" t="s">
        <v>151</v>
      </c>
      <c r="D471" s="748"/>
      <c r="E471" s="751" t="s">
        <v>919</v>
      </c>
    </row>
    <row r="472" spans="1:5" s="761" customFormat="1" x14ac:dyDescent="0.25">
      <c r="A472" s="748" t="s">
        <v>341</v>
      </c>
      <c r="B472" s="748" t="s">
        <v>1128</v>
      </c>
      <c r="C472" s="752" t="s">
        <v>151</v>
      </c>
      <c r="D472" s="748"/>
      <c r="E472" s="751" t="s">
        <v>919</v>
      </c>
    </row>
    <row r="473" spans="1:5" x14ac:dyDescent="0.2">
      <c r="A473" s="737" t="s">
        <v>1741</v>
      </c>
      <c r="B473" s="737" t="s">
        <v>1128</v>
      </c>
      <c r="C473" s="755" t="s">
        <v>151</v>
      </c>
      <c r="E473" s="756" t="s">
        <v>919</v>
      </c>
    </row>
    <row r="474" spans="1:5" x14ac:dyDescent="0.2">
      <c r="A474" s="748" t="s">
        <v>1324</v>
      </c>
      <c r="B474" s="748" t="s">
        <v>1128</v>
      </c>
      <c r="C474" s="752" t="s">
        <v>151</v>
      </c>
      <c r="D474" s="748"/>
      <c r="E474" s="751" t="s">
        <v>919</v>
      </c>
    </row>
    <row r="475" spans="1:5" x14ac:dyDescent="0.2">
      <c r="A475" s="748" t="s">
        <v>1326</v>
      </c>
      <c r="B475" s="748" t="s">
        <v>1128</v>
      </c>
      <c r="C475" s="752" t="s">
        <v>151</v>
      </c>
      <c r="D475" s="748"/>
      <c r="E475" s="751" t="s">
        <v>919</v>
      </c>
    </row>
    <row r="476" spans="1:5" x14ac:dyDescent="0.2">
      <c r="A476" s="748" t="s">
        <v>1131</v>
      </c>
      <c r="B476" s="748" t="s">
        <v>1128</v>
      </c>
      <c r="C476" s="752" t="s">
        <v>151</v>
      </c>
      <c r="D476" s="748" t="s">
        <v>1130</v>
      </c>
      <c r="E476" s="751" t="s">
        <v>919</v>
      </c>
    </row>
    <row r="477" spans="1:5" x14ac:dyDescent="0.2">
      <c r="A477" s="748" t="s">
        <v>1518</v>
      </c>
      <c r="B477" s="737" t="s">
        <v>1128</v>
      </c>
      <c r="C477" s="755" t="s">
        <v>151</v>
      </c>
      <c r="E477" s="751" t="s">
        <v>919</v>
      </c>
    </row>
    <row r="478" spans="1:5" x14ac:dyDescent="0.2">
      <c r="A478" s="748" t="s">
        <v>1318</v>
      </c>
      <c r="B478" s="748" t="s">
        <v>920</v>
      </c>
      <c r="C478" s="752" t="s">
        <v>151</v>
      </c>
      <c r="D478" s="748"/>
      <c r="E478" s="751" t="s">
        <v>919</v>
      </c>
    </row>
    <row r="479" spans="1:5" x14ac:dyDescent="0.2">
      <c r="A479" s="748" t="s">
        <v>343</v>
      </c>
      <c r="B479" s="748" t="s">
        <v>920</v>
      </c>
      <c r="C479" s="752" t="s">
        <v>151</v>
      </c>
      <c r="D479" s="748" t="s">
        <v>921</v>
      </c>
      <c r="E479" s="751" t="s">
        <v>919</v>
      </c>
    </row>
    <row r="480" spans="1:5" x14ac:dyDescent="0.2">
      <c r="A480" s="737" t="s">
        <v>1840</v>
      </c>
      <c r="B480" s="737" t="s">
        <v>1773</v>
      </c>
      <c r="C480" s="755" t="s">
        <v>151</v>
      </c>
      <c r="E480" s="756" t="s">
        <v>919</v>
      </c>
    </row>
    <row r="481" spans="1:5" x14ac:dyDescent="0.2">
      <c r="A481" s="737" t="s">
        <v>1772</v>
      </c>
      <c r="B481" s="737" t="s">
        <v>1773</v>
      </c>
      <c r="C481" s="755" t="s">
        <v>151</v>
      </c>
      <c r="E481" s="756" t="s">
        <v>919</v>
      </c>
    </row>
    <row r="482" spans="1:5" x14ac:dyDescent="0.2">
      <c r="A482" s="737" t="s">
        <v>1771</v>
      </c>
      <c r="B482" s="737" t="s">
        <v>1773</v>
      </c>
      <c r="C482" s="755" t="s">
        <v>151</v>
      </c>
      <c r="E482" s="756" t="s">
        <v>919</v>
      </c>
    </row>
    <row r="483" spans="1:5" x14ac:dyDescent="0.2">
      <c r="A483" s="737" t="s">
        <v>1839</v>
      </c>
      <c r="B483" s="737" t="s">
        <v>1773</v>
      </c>
      <c r="C483" s="755" t="s">
        <v>151</v>
      </c>
      <c r="E483" s="756" t="s">
        <v>919</v>
      </c>
    </row>
    <row r="484" spans="1:5" x14ac:dyDescent="0.2">
      <c r="A484" s="737" t="s">
        <v>1837</v>
      </c>
      <c r="B484" s="737" t="s">
        <v>1773</v>
      </c>
      <c r="C484" s="755" t="s">
        <v>151</v>
      </c>
      <c r="E484" s="756" t="s">
        <v>919</v>
      </c>
    </row>
    <row r="485" spans="1:5" ht="14.45" customHeight="1" x14ac:dyDescent="0.2">
      <c r="A485" s="737" t="s">
        <v>1838</v>
      </c>
      <c r="B485" s="737" t="s">
        <v>1773</v>
      </c>
      <c r="C485" s="755" t="s">
        <v>151</v>
      </c>
      <c r="E485" s="756" t="s">
        <v>919</v>
      </c>
    </row>
    <row r="486" spans="1:5" ht="14.45" customHeight="1" x14ac:dyDescent="0.2">
      <c r="A486" s="748" t="s">
        <v>1319</v>
      </c>
      <c r="B486" s="748" t="s">
        <v>1336</v>
      </c>
      <c r="C486" s="752" t="s">
        <v>151</v>
      </c>
      <c r="D486" s="748"/>
      <c r="E486" s="751" t="s">
        <v>919</v>
      </c>
    </row>
    <row r="487" spans="1:5" x14ac:dyDescent="0.2">
      <c r="A487" s="760" t="s">
        <v>1649</v>
      </c>
      <c r="B487" s="748" t="s">
        <v>1650</v>
      </c>
      <c r="C487" s="752" t="s">
        <v>151</v>
      </c>
      <c r="D487" s="748"/>
      <c r="E487" s="751" t="s">
        <v>919</v>
      </c>
    </row>
    <row r="488" spans="1:5" x14ac:dyDescent="0.2">
      <c r="A488" s="748" t="s">
        <v>11</v>
      </c>
      <c r="B488" s="748" t="s">
        <v>702</v>
      </c>
      <c r="C488" s="752" t="s">
        <v>160</v>
      </c>
      <c r="D488" s="748" t="s">
        <v>982</v>
      </c>
      <c r="E488" s="751" t="s">
        <v>963</v>
      </c>
    </row>
    <row r="489" spans="1:5" x14ac:dyDescent="0.2">
      <c r="A489" s="748" t="s">
        <v>8</v>
      </c>
      <c r="B489" s="748" t="s">
        <v>983</v>
      </c>
      <c r="C489" s="752" t="s">
        <v>160</v>
      </c>
      <c r="D489" s="748" t="s">
        <v>982</v>
      </c>
      <c r="E489" s="751" t="s">
        <v>963</v>
      </c>
    </row>
    <row r="490" spans="1:5" x14ac:dyDescent="0.2">
      <c r="A490" s="748" t="s">
        <v>1674</v>
      </c>
      <c r="B490" s="748" t="s">
        <v>1675</v>
      </c>
      <c r="C490" s="752" t="s">
        <v>160</v>
      </c>
      <c r="D490" s="748"/>
      <c r="E490" s="751" t="s">
        <v>963</v>
      </c>
    </row>
    <row r="491" spans="1:5" x14ac:dyDescent="0.2">
      <c r="A491" s="748" t="s">
        <v>12</v>
      </c>
      <c r="B491" s="748" t="s">
        <v>984</v>
      </c>
      <c r="C491" s="752" t="s">
        <v>160</v>
      </c>
      <c r="D491" s="748"/>
      <c r="E491" s="751" t="s">
        <v>963</v>
      </c>
    </row>
    <row r="492" spans="1:5" x14ac:dyDescent="0.2">
      <c r="A492" s="748" t="s">
        <v>986</v>
      </c>
      <c r="B492" s="748" t="s">
        <v>985</v>
      </c>
      <c r="C492" s="752" t="s">
        <v>160</v>
      </c>
      <c r="D492" s="748" t="s">
        <v>982</v>
      </c>
      <c r="E492" s="751" t="s">
        <v>963</v>
      </c>
    </row>
    <row r="493" spans="1:5" x14ac:dyDescent="0.2">
      <c r="A493" s="748" t="s">
        <v>13</v>
      </c>
      <c r="B493" s="748" t="s">
        <v>987</v>
      </c>
      <c r="C493" s="752" t="s">
        <v>160</v>
      </c>
      <c r="D493" s="748" t="s">
        <v>982</v>
      </c>
      <c r="E493" s="751" t="s">
        <v>963</v>
      </c>
    </row>
    <row r="494" spans="1:5" x14ac:dyDescent="0.2">
      <c r="A494" s="748" t="s">
        <v>344</v>
      </c>
      <c r="B494" s="748" t="s">
        <v>988</v>
      </c>
      <c r="C494" s="752" t="s">
        <v>160</v>
      </c>
      <c r="D494" s="748" t="s">
        <v>982</v>
      </c>
      <c r="E494" s="751" t="s">
        <v>963</v>
      </c>
    </row>
    <row r="495" spans="1:5" x14ac:dyDescent="0.2">
      <c r="A495" s="748" t="s">
        <v>345</v>
      </c>
      <c r="B495" s="748" t="s">
        <v>989</v>
      </c>
      <c r="C495" s="752" t="s">
        <v>160</v>
      </c>
      <c r="D495" s="748" t="s">
        <v>982</v>
      </c>
      <c r="E495" s="751" t="s">
        <v>963</v>
      </c>
    </row>
    <row r="496" spans="1:5" x14ac:dyDescent="0.2">
      <c r="A496" s="748" t="s">
        <v>1561</v>
      </c>
      <c r="B496" s="748" t="s">
        <v>1566</v>
      </c>
      <c r="C496" s="752" t="s">
        <v>160</v>
      </c>
      <c r="D496" s="748"/>
      <c r="E496" s="751" t="s">
        <v>963</v>
      </c>
    </row>
    <row r="497" spans="1:5" ht="15" customHeight="1" x14ac:dyDescent="0.2">
      <c r="A497" s="748" t="s">
        <v>1434</v>
      </c>
      <c r="B497" s="748" t="s">
        <v>1449</v>
      </c>
      <c r="C497" s="752" t="s">
        <v>160</v>
      </c>
      <c r="D497" s="748"/>
      <c r="E497" s="751" t="s">
        <v>963</v>
      </c>
    </row>
    <row r="498" spans="1:5" x14ac:dyDescent="0.2">
      <c r="A498" s="748" t="s">
        <v>9</v>
      </c>
      <c r="B498" s="748" t="s">
        <v>990</v>
      </c>
      <c r="C498" s="752" t="s">
        <v>160</v>
      </c>
      <c r="D498" s="748" t="s">
        <v>982</v>
      </c>
      <c r="E498" s="751" t="s">
        <v>963</v>
      </c>
    </row>
    <row r="499" spans="1:5" ht="15" customHeight="1" x14ac:dyDescent="0.2">
      <c r="A499" s="748" t="s">
        <v>7</v>
      </c>
      <c r="B499" s="748" t="s">
        <v>990</v>
      </c>
      <c r="C499" s="752" t="s">
        <v>160</v>
      </c>
      <c r="D499" s="748" t="s">
        <v>982</v>
      </c>
      <c r="E499" s="751" t="s">
        <v>963</v>
      </c>
    </row>
    <row r="500" spans="1:5" ht="15.6" customHeight="1" x14ac:dyDescent="0.2">
      <c r="A500" s="748" t="s">
        <v>1429</v>
      </c>
      <c r="B500" s="748" t="s">
        <v>990</v>
      </c>
      <c r="C500" s="752" t="s">
        <v>160</v>
      </c>
      <c r="D500" s="748"/>
      <c r="E500" s="751" t="s">
        <v>963</v>
      </c>
    </row>
    <row r="501" spans="1:5" x14ac:dyDescent="0.2">
      <c r="A501" s="748" t="s">
        <v>992</v>
      </c>
      <c r="B501" s="748" t="s">
        <v>990</v>
      </c>
      <c r="C501" s="752" t="s">
        <v>160</v>
      </c>
      <c r="D501" s="748" t="s">
        <v>991</v>
      </c>
      <c r="E501" s="751" t="s">
        <v>963</v>
      </c>
    </row>
    <row r="502" spans="1:5" ht="15" customHeight="1" x14ac:dyDescent="0.2">
      <c r="A502" s="748" t="s">
        <v>1623</v>
      </c>
      <c r="B502" s="748" t="s">
        <v>1625</v>
      </c>
      <c r="C502" s="752" t="s">
        <v>160</v>
      </c>
      <c r="D502" s="748"/>
      <c r="E502" s="751" t="s">
        <v>963</v>
      </c>
    </row>
    <row r="503" spans="1:5" ht="15" customHeight="1" x14ac:dyDescent="0.2">
      <c r="A503" s="748" t="s">
        <v>994</v>
      </c>
      <c r="B503" s="748" t="s">
        <v>993</v>
      </c>
      <c r="C503" s="752" t="s">
        <v>160</v>
      </c>
      <c r="D503" s="748" t="s">
        <v>982</v>
      </c>
      <c r="E503" s="751" t="s">
        <v>963</v>
      </c>
    </row>
    <row r="504" spans="1:5" ht="15" customHeight="1" x14ac:dyDescent="0.2">
      <c r="A504" s="748" t="s">
        <v>15</v>
      </c>
      <c r="B504" s="748" t="s">
        <v>995</v>
      </c>
      <c r="C504" s="752" t="s">
        <v>160</v>
      </c>
      <c r="D504" s="748" t="s">
        <v>982</v>
      </c>
      <c r="E504" s="751" t="s">
        <v>963</v>
      </c>
    </row>
    <row r="505" spans="1:5" x14ac:dyDescent="0.2">
      <c r="A505" s="748" t="s">
        <v>996</v>
      </c>
      <c r="B505" s="748" t="s">
        <v>839</v>
      </c>
      <c r="C505" s="752" t="s">
        <v>160</v>
      </c>
      <c r="D505" s="748" t="s">
        <v>982</v>
      </c>
      <c r="E505" s="751" t="s">
        <v>963</v>
      </c>
    </row>
    <row r="506" spans="1:5" x14ac:dyDescent="0.2">
      <c r="A506" s="748" t="s">
        <v>998</v>
      </c>
      <c r="B506" s="748" t="s">
        <v>997</v>
      </c>
      <c r="C506" s="752" t="s">
        <v>160</v>
      </c>
      <c r="D506" s="748"/>
      <c r="E506" s="751" t="s">
        <v>963</v>
      </c>
    </row>
    <row r="507" spans="1:5" x14ac:dyDescent="0.2">
      <c r="A507" s="748" t="s">
        <v>1244</v>
      </c>
      <c r="B507" s="748" t="s">
        <v>1245</v>
      </c>
      <c r="C507" s="752" t="s">
        <v>160</v>
      </c>
      <c r="D507" s="748"/>
      <c r="E507" s="751" t="s">
        <v>963</v>
      </c>
    </row>
    <row r="508" spans="1:5" x14ac:dyDescent="0.2">
      <c r="A508" s="748" t="s">
        <v>10</v>
      </c>
      <c r="B508" s="748" t="s">
        <v>999</v>
      </c>
      <c r="C508" s="752" t="s">
        <v>160</v>
      </c>
      <c r="D508" s="748" t="s">
        <v>982</v>
      </c>
      <c r="E508" s="751" t="s">
        <v>963</v>
      </c>
    </row>
    <row r="509" spans="1:5" ht="15" customHeight="1" x14ac:dyDescent="0.2">
      <c r="A509" s="748" t="s">
        <v>1917</v>
      </c>
      <c r="B509" s="748" t="s">
        <v>1918</v>
      </c>
      <c r="C509" s="752" t="s">
        <v>156</v>
      </c>
      <c r="D509" s="748"/>
      <c r="E509" s="751" t="s">
        <v>1070</v>
      </c>
    </row>
    <row r="510" spans="1:5" ht="15" customHeight="1" x14ac:dyDescent="0.2">
      <c r="A510" s="748" t="s">
        <v>46</v>
      </c>
      <c r="B510" s="748" t="s">
        <v>718</v>
      </c>
      <c r="C510" s="752" t="s">
        <v>156</v>
      </c>
      <c r="D510" s="748" t="s">
        <v>1100</v>
      </c>
      <c r="E510" s="751" t="s">
        <v>1070</v>
      </c>
    </row>
    <row r="511" spans="1:5" x14ac:dyDescent="0.2">
      <c r="A511" s="748" t="s">
        <v>1102</v>
      </c>
      <c r="B511" s="748" t="s">
        <v>1101</v>
      </c>
      <c r="C511" s="752" t="s">
        <v>156</v>
      </c>
      <c r="D511" s="748"/>
      <c r="E511" s="751" t="s">
        <v>1070</v>
      </c>
    </row>
    <row r="512" spans="1:5" x14ac:dyDescent="0.2">
      <c r="A512" s="748" t="s">
        <v>1571</v>
      </c>
      <c r="B512" s="748" t="s">
        <v>1590</v>
      </c>
      <c r="C512" s="752" t="s">
        <v>156</v>
      </c>
      <c r="D512" s="748"/>
      <c r="E512" s="751" t="s">
        <v>1070</v>
      </c>
    </row>
    <row r="513" spans="1:5" x14ac:dyDescent="0.2">
      <c r="A513" s="748" t="s">
        <v>1133</v>
      </c>
      <c r="B513" s="748" t="s">
        <v>1132</v>
      </c>
      <c r="C513" s="752" t="s">
        <v>156</v>
      </c>
      <c r="D513" s="748"/>
      <c r="E513" s="751" t="s">
        <v>834</v>
      </c>
    </row>
    <row r="514" spans="1:5" x14ac:dyDescent="0.2">
      <c r="A514" s="748" t="s">
        <v>1867</v>
      </c>
      <c r="B514" s="748" t="s">
        <v>1870</v>
      </c>
      <c r="C514" s="752" t="s">
        <v>1868</v>
      </c>
      <c r="D514" s="748"/>
      <c r="E514" s="751" t="s">
        <v>893</v>
      </c>
    </row>
  </sheetData>
  <autoFilter ref="A1:E514" xr:uid="{841AA4BA-11FA-41E8-9787-471590A00D98}">
    <sortState ref="A2:E514">
      <sortCondition ref="C1:C514"/>
    </sortState>
  </autoFilter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129"/>
  <sheetViews>
    <sheetView topLeftCell="A88" zoomScale="80" zoomScaleNormal="80" workbookViewId="0">
      <selection activeCell="G116" sqref="G11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9" width="12.28515625" style="419" bestFit="1" customWidth="1"/>
    <col min="10" max="10" width="13.425781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46" t="s">
        <v>1</v>
      </c>
      <c r="B4" s="546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0" t="s">
        <v>320</v>
      </c>
      <c r="B5" s="530" t="s">
        <v>115</v>
      </c>
      <c r="C5" s="531">
        <v>5</v>
      </c>
      <c r="D5" s="542">
        <v>11385</v>
      </c>
      <c r="E5" s="535">
        <v>5</v>
      </c>
      <c r="F5" s="542">
        <f>8904+2200</f>
        <v>11104</v>
      </c>
      <c r="G5" s="535">
        <f t="shared" ref="G5:G36" si="0">E5-C5</f>
        <v>0</v>
      </c>
      <c r="H5" s="542">
        <f t="shared" ref="H5:H36" si="1">F5-D5</f>
        <v>-281</v>
      </c>
      <c r="I5" s="542"/>
      <c r="J5" s="542">
        <v>3562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2">SUM(K5:Y5)</f>
        <v>0</v>
      </c>
    </row>
    <row r="6" spans="1:26" ht="14.45" customHeight="1" x14ac:dyDescent="0.25">
      <c r="A6" s="531" t="s">
        <v>331</v>
      </c>
      <c r="B6" s="530" t="s">
        <v>115</v>
      </c>
      <c r="C6" s="531">
        <v>4</v>
      </c>
      <c r="D6" s="542">
        <v>6265</v>
      </c>
      <c r="E6" s="535">
        <v>4</v>
      </c>
      <c r="F6" s="542">
        <v>6572</v>
      </c>
      <c r="G6" s="535">
        <f t="shared" si="0"/>
        <v>0</v>
      </c>
      <c r="H6" s="542">
        <f t="shared" si="1"/>
        <v>307</v>
      </c>
      <c r="I6" s="542"/>
      <c r="J6" s="542">
        <v>6572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1" t="s">
        <v>198</v>
      </c>
      <c r="B7" s="530" t="s">
        <v>100</v>
      </c>
      <c r="C7" s="531">
        <v>7</v>
      </c>
      <c r="D7" s="542">
        <v>12253.5</v>
      </c>
      <c r="E7" s="535">
        <v>8</v>
      </c>
      <c r="F7" s="542">
        <v>13144</v>
      </c>
      <c r="G7" s="535">
        <f t="shared" si="0"/>
        <v>1</v>
      </c>
      <c r="H7" s="542">
        <f t="shared" si="1"/>
        <v>890.5</v>
      </c>
      <c r="I7" s="542"/>
      <c r="J7" s="542">
        <v>4120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1" t="s">
        <v>26</v>
      </c>
      <c r="B8" s="530" t="s">
        <v>100</v>
      </c>
      <c r="C8" s="531">
        <v>8</v>
      </c>
      <c r="D8" s="542">
        <v>16535</v>
      </c>
      <c r="E8" s="535">
        <v>8</v>
      </c>
      <c r="F8" s="542">
        <v>17450</v>
      </c>
      <c r="G8" s="535">
        <f t="shared" si="0"/>
        <v>0</v>
      </c>
      <c r="H8" s="542">
        <f t="shared" si="1"/>
        <v>915</v>
      </c>
      <c r="I8" s="542"/>
      <c r="J8" s="542">
        <v>4000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0" t="s">
        <v>1371</v>
      </c>
      <c r="B9" s="530" t="s">
        <v>115</v>
      </c>
      <c r="C9" s="531">
        <v>6</v>
      </c>
      <c r="D9" s="542">
        <v>11500</v>
      </c>
      <c r="E9" s="535">
        <v>6</v>
      </c>
      <c r="F9" s="542">
        <v>11770</v>
      </c>
      <c r="G9" s="535">
        <f t="shared" si="0"/>
        <v>0</v>
      </c>
      <c r="H9" s="542">
        <f t="shared" si="1"/>
        <v>270</v>
      </c>
      <c r="I9" s="542"/>
      <c r="J9" s="542">
        <v>3828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1" t="s">
        <v>359</v>
      </c>
      <c r="B10" s="531" t="s">
        <v>100</v>
      </c>
      <c r="C10" s="531">
        <v>7</v>
      </c>
      <c r="D10" s="542">
        <v>13365</v>
      </c>
      <c r="E10" s="535">
        <v>7</v>
      </c>
      <c r="F10" s="542">
        <v>13701</v>
      </c>
      <c r="G10" s="535">
        <f t="shared" si="0"/>
        <v>0</v>
      </c>
      <c r="H10" s="542">
        <f t="shared" si="1"/>
        <v>336</v>
      </c>
      <c r="I10" s="542"/>
      <c r="J10" s="542">
        <v>4600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3" t="s">
        <v>279</v>
      </c>
      <c r="B11" s="531" t="s">
        <v>100</v>
      </c>
      <c r="C11" s="531">
        <v>6</v>
      </c>
      <c r="D11" s="542">
        <v>9570</v>
      </c>
      <c r="E11" s="535">
        <v>6</v>
      </c>
      <c r="F11" s="542">
        <v>9858</v>
      </c>
      <c r="G11" s="535">
        <f t="shared" si="0"/>
        <v>0</v>
      </c>
      <c r="H11" s="542">
        <f t="shared" si="1"/>
        <v>288</v>
      </c>
      <c r="I11" s="542"/>
      <c r="J11" s="542">
        <v>3943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1" t="s">
        <v>332</v>
      </c>
      <c r="B12" s="531" t="s">
        <v>115</v>
      </c>
      <c r="C12" s="531">
        <v>10</v>
      </c>
      <c r="D12" s="542">
        <v>11049.349999999999</v>
      </c>
      <c r="E12" s="535">
        <v>10</v>
      </c>
      <c r="F12" s="542">
        <f>9834+1550</f>
        <v>11384</v>
      </c>
      <c r="G12" s="535">
        <f t="shared" si="0"/>
        <v>0</v>
      </c>
      <c r="H12" s="542">
        <f t="shared" si="1"/>
        <v>334.65000000000146</v>
      </c>
      <c r="I12" s="542"/>
      <c r="J12" s="542">
        <v>3400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1" t="s">
        <v>101</v>
      </c>
      <c r="B13" s="531" t="s">
        <v>115</v>
      </c>
      <c r="C13" s="531">
        <v>8</v>
      </c>
      <c r="D13" s="542">
        <v>10458</v>
      </c>
      <c r="E13" s="535">
        <v>8</v>
      </c>
      <c r="F13" s="542">
        <v>10877</v>
      </c>
      <c r="G13" s="535">
        <f t="shared" si="0"/>
        <v>0</v>
      </c>
      <c r="H13" s="542">
        <f t="shared" si="1"/>
        <v>419</v>
      </c>
      <c r="I13" s="542"/>
      <c r="J13" s="542">
        <v>3400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1" t="s">
        <v>334</v>
      </c>
      <c r="B14" s="531" t="s">
        <v>115</v>
      </c>
      <c r="C14" s="531">
        <v>13</v>
      </c>
      <c r="D14" s="542">
        <v>22972.75</v>
      </c>
      <c r="E14" s="535">
        <v>13</v>
      </c>
      <c r="F14" s="542">
        <f>18448+4650+2200</f>
        <v>25298</v>
      </c>
      <c r="G14" s="535">
        <f t="shared" si="0"/>
        <v>0</v>
      </c>
      <c r="H14" s="542">
        <f t="shared" si="1"/>
        <v>2325.25</v>
      </c>
      <c r="I14" s="542"/>
      <c r="J14" s="542">
        <v>3400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1" t="s">
        <v>102</v>
      </c>
      <c r="B15" s="531" t="s">
        <v>115</v>
      </c>
      <c r="C15" s="531">
        <v>2</v>
      </c>
      <c r="D15" s="542">
        <v>697.19999999999993</v>
      </c>
      <c r="E15" s="535">
        <v>2</v>
      </c>
      <c r="F15" s="542">
        <v>753</v>
      </c>
      <c r="G15" s="535">
        <f t="shared" si="0"/>
        <v>0</v>
      </c>
      <c r="H15" s="542">
        <f t="shared" si="1"/>
        <v>55.800000000000068</v>
      </c>
      <c r="I15" s="542"/>
      <c r="J15" s="542">
        <v>301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1" t="s">
        <v>337</v>
      </c>
      <c r="B16" s="531" t="s">
        <v>115</v>
      </c>
      <c r="C16" s="531">
        <v>7</v>
      </c>
      <c r="D16" s="542">
        <v>5228.9999999999991</v>
      </c>
      <c r="E16" s="535">
        <v>7</v>
      </c>
      <c r="F16" s="542">
        <v>6141</v>
      </c>
      <c r="G16" s="535">
        <f t="shared" si="0"/>
        <v>0</v>
      </c>
      <c r="H16" s="542">
        <f t="shared" si="1"/>
        <v>912.00000000000091</v>
      </c>
      <c r="I16" s="542"/>
      <c r="J16" s="542">
        <v>2457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1" t="s">
        <v>333</v>
      </c>
      <c r="B17" s="531" t="s">
        <v>115</v>
      </c>
      <c r="C17" s="531">
        <v>7</v>
      </c>
      <c r="D17" s="542">
        <v>5229</v>
      </c>
      <c r="E17" s="535">
        <v>7</v>
      </c>
      <c r="F17" s="542">
        <v>6048</v>
      </c>
      <c r="G17" s="535">
        <f t="shared" si="0"/>
        <v>0</v>
      </c>
      <c r="H17" s="542">
        <f t="shared" si="1"/>
        <v>819</v>
      </c>
      <c r="I17" s="542"/>
      <c r="J17" s="542">
        <v>2419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0" t="s">
        <v>244</v>
      </c>
      <c r="B18" s="530" t="s">
        <v>115</v>
      </c>
      <c r="C18" s="531">
        <v>8</v>
      </c>
      <c r="D18" s="542">
        <v>12060</v>
      </c>
      <c r="E18" s="535">
        <v>8</v>
      </c>
      <c r="F18" s="542">
        <v>12420</v>
      </c>
      <c r="G18" s="535">
        <f t="shared" si="0"/>
        <v>0</v>
      </c>
      <c r="H18" s="542">
        <f t="shared" si="1"/>
        <v>360</v>
      </c>
      <c r="I18" s="542"/>
      <c r="J18" s="542">
        <v>4000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1" t="s">
        <v>368</v>
      </c>
      <c r="B19" s="531" t="s">
        <v>100</v>
      </c>
      <c r="C19" s="531">
        <v>2</v>
      </c>
      <c r="D19" s="542">
        <v>1338.75</v>
      </c>
      <c r="E19" s="535">
        <v>2</v>
      </c>
      <c r="F19" s="542">
        <f>(430+430)*0.75</f>
        <v>645</v>
      </c>
      <c r="G19" s="535">
        <f t="shared" si="0"/>
        <v>0</v>
      </c>
      <c r="H19" s="542">
        <f t="shared" si="1"/>
        <v>-693.75</v>
      </c>
      <c r="I19" s="542"/>
      <c r="J19" s="542">
        <f t="shared" ref="J19:J23" si="3">F19*0.4</f>
        <v>258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2"/>
        <v>0</v>
      </c>
    </row>
    <row r="20" spans="1:26" ht="14.45" customHeight="1" x14ac:dyDescent="0.25">
      <c r="A20" s="531" t="s">
        <v>365</v>
      </c>
      <c r="B20" s="531" t="s">
        <v>100</v>
      </c>
      <c r="C20" s="531">
        <v>8</v>
      </c>
      <c r="D20" s="542">
        <v>7245</v>
      </c>
      <c r="E20" s="535">
        <v>8</v>
      </c>
      <c r="F20" s="542">
        <f>(7335-1405)*0.75</f>
        <v>4447.5</v>
      </c>
      <c r="G20" s="535">
        <f t="shared" si="0"/>
        <v>0</v>
      </c>
      <c r="H20" s="542">
        <f t="shared" si="1"/>
        <v>-2797.5</v>
      </c>
      <c r="I20" s="542"/>
      <c r="J20" s="542">
        <f t="shared" si="3"/>
        <v>1779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1" t="s">
        <v>367</v>
      </c>
      <c r="B21" s="531" t="s">
        <v>100</v>
      </c>
      <c r="C21" s="531">
        <v>3</v>
      </c>
      <c r="D21" s="542">
        <v>1968.75</v>
      </c>
      <c r="E21" s="535">
        <v>3</v>
      </c>
      <c r="F21" s="542">
        <f>2265*0.75</f>
        <v>1698.75</v>
      </c>
      <c r="G21" s="535">
        <f t="shared" si="0"/>
        <v>0</v>
      </c>
      <c r="H21" s="542">
        <f t="shared" si="1"/>
        <v>-270</v>
      </c>
      <c r="I21" s="542"/>
      <c r="J21" s="542">
        <f t="shared" si="3"/>
        <v>679.5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1" t="s">
        <v>364</v>
      </c>
      <c r="B22" s="531" t="s">
        <v>100</v>
      </c>
      <c r="C22" s="531">
        <v>10</v>
      </c>
      <c r="D22" s="542">
        <v>12678.75</v>
      </c>
      <c r="E22" s="535">
        <v>10</v>
      </c>
      <c r="F22" s="542">
        <f>10360*0.75</f>
        <v>7770</v>
      </c>
      <c r="G22" s="535">
        <f t="shared" si="0"/>
        <v>0</v>
      </c>
      <c r="H22" s="542">
        <f t="shared" si="1"/>
        <v>-4908.75</v>
      </c>
      <c r="I22" s="542"/>
      <c r="J22" s="542">
        <v>3000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1" t="s">
        <v>366</v>
      </c>
      <c r="B23" s="531" t="s">
        <v>100</v>
      </c>
      <c r="C23" s="531">
        <v>6</v>
      </c>
      <c r="D23" s="542">
        <v>7555.25</v>
      </c>
      <c r="E23" s="535">
        <v>6</v>
      </c>
      <c r="F23" s="542">
        <f>5070*0.75</f>
        <v>3802.5</v>
      </c>
      <c r="G23" s="535">
        <f t="shared" si="0"/>
        <v>0</v>
      </c>
      <c r="H23" s="542">
        <f t="shared" si="1"/>
        <v>-3752.75</v>
      </c>
      <c r="I23" s="542"/>
      <c r="J23" s="542">
        <f t="shared" si="3"/>
        <v>1521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1" t="s">
        <v>363</v>
      </c>
      <c r="B24" s="531" t="s">
        <v>100</v>
      </c>
      <c r="C24" s="530">
        <v>10</v>
      </c>
      <c r="D24" s="542">
        <v>17950</v>
      </c>
      <c r="E24" s="535">
        <v>10</v>
      </c>
      <c r="F24" s="542">
        <f>13495*0.75+2200</f>
        <v>12321.25</v>
      </c>
      <c r="G24" s="535">
        <f t="shared" si="0"/>
        <v>0</v>
      </c>
      <c r="H24" s="542">
        <f t="shared" si="1"/>
        <v>-5628.75</v>
      </c>
      <c r="I24" s="542"/>
      <c r="J24" s="542">
        <v>3000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4" t="s">
        <v>312</v>
      </c>
      <c r="B25" s="530" t="s">
        <v>115</v>
      </c>
      <c r="C25" s="531">
        <v>5</v>
      </c>
      <c r="D25" s="542">
        <v>4430</v>
      </c>
      <c r="E25" s="535">
        <v>5</v>
      </c>
      <c r="F25" s="542">
        <v>5674</v>
      </c>
      <c r="G25" s="535">
        <f t="shared" si="0"/>
        <v>0</v>
      </c>
      <c r="H25" s="542">
        <f t="shared" si="1"/>
        <v>1244</v>
      </c>
      <c r="I25" s="542"/>
      <c r="J25" s="542">
        <v>2270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1" t="s">
        <v>361</v>
      </c>
      <c r="B26" s="531" t="s">
        <v>100</v>
      </c>
      <c r="C26" s="531">
        <v>6</v>
      </c>
      <c r="D26" s="542">
        <v>9570</v>
      </c>
      <c r="E26" s="535">
        <v>6</v>
      </c>
      <c r="F26" s="542">
        <v>9858</v>
      </c>
      <c r="G26" s="535">
        <f t="shared" si="0"/>
        <v>0</v>
      </c>
      <c r="H26" s="542">
        <f t="shared" si="1"/>
        <v>288</v>
      </c>
      <c r="I26" s="542"/>
      <c r="J26" s="542">
        <v>3943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7" t="s">
        <v>323</v>
      </c>
      <c r="B27" s="530" t="s">
        <v>115</v>
      </c>
      <c r="C27" s="531">
        <v>8</v>
      </c>
      <c r="D27" s="542">
        <v>12546</v>
      </c>
      <c r="E27" s="535">
        <v>8</v>
      </c>
      <c r="F27" s="542">
        <v>13422</v>
      </c>
      <c r="G27" s="535">
        <f t="shared" si="0"/>
        <v>0</v>
      </c>
      <c r="H27" s="542">
        <f t="shared" si="1"/>
        <v>876</v>
      </c>
      <c r="I27" s="542"/>
      <c r="J27" s="542">
        <v>4000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0" t="s">
        <v>1346</v>
      </c>
      <c r="B28" s="530" t="s">
        <v>100</v>
      </c>
      <c r="C28" s="531">
        <v>3</v>
      </c>
      <c r="D28" s="542">
        <v>4650</v>
      </c>
      <c r="E28" s="535">
        <v>3</v>
      </c>
      <c r="F28" s="542">
        <v>4785</v>
      </c>
      <c r="G28" s="535">
        <f t="shared" si="0"/>
        <v>0</v>
      </c>
      <c r="H28" s="542">
        <f t="shared" si="1"/>
        <v>135</v>
      </c>
      <c r="I28" s="542"/>
      <c r="J28" s="542">
        <v>1914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1" t="s">
        <v>1308</v>
      </c>
      <c r="B29" s="531" t="s">
        <v>100</v>
      </c>
      <c r="C29" s="531">
        <v>8</v>
      </c>
      <c r="D29" s="542">
        <v>11668.5</v>
      </c>
      <c r="E29" s="535">
        <v>8</v>
      </c>
      <c r="F29" s="542">
        <v>9209</v>
      </c>
      <c r="G29" s="535">
        <f t="shared" si="0"/>
        <v>0</v>
      </c>
      <c r="H29" s="542">
        <f t="shared" si="1"/>
        <v>-2459.5</v>
      </c>
      <c r="I29" s="542"/>
      <c r="J29" s="542">
        <v>3684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A30" s="530" t="s">
        <v>271</v>
      </c>
      <c r="B30" s="530" t="s">
        <v>100</v>
      </c>
      <c r="C30" s="531">
        <v>6</v>
      </c>
      <c r="D30" s="542">
        <v>8535</v>
      </c>
      <c r="E30" s="535">
        <v>6</v>
      </c>
      <c r="F30" s="542">
        <v>8789</v>
      </c>
      <c r="G30" s="535">
        <f t="shared" si="0"/>
        <v>0</v>
      </c>
      <c r="H30" s="542">
        <f t="shared" si="1"/>
        <v>254</v>
      </c>
      <c r="I30" s="542"/>
      <c r="J30" s="542">
        <v>3516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customHeight="1" x14ac:dyDescent="0.25">
      <c r="A31" s="530" t="s">
        <v>230</v>
      </c>
      <c r="B31" s="530" t="s">
        <v>100</v>
      </c>
      <c r="C31" s="531">
        <v>7</v>
      </c>
      <c r="D31" s="542">
        <v>8068.5</v>
      </c>
      <c r="E31" s="535">
        <v>7</v>
      </c>
      <c r="F31" s="542">
        <v>9114</v>
      </c>
      <c r="G31" s="535">
        <f t="shared" si="0"/>
        <v>0</v>
      </c>
      <c r="H31" s="542">
        <f t="shared" si="1"/>
        <v>1045.5</v>
      </c>
      <c r="I31" s="542"/>
      <c r="J31" s="542">
        <v>3646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customHeight="1" x14ac:dyDescent="0.25">
      <c r="A32" s="530" t="s">
        <v>229</v>
      </c>
      <c r="B32" s="530" t="s">
        <v>100</v>
      </c>
      <c r="C32" s="531">
        <v>7</v>
      </c>
      <c r="D32" s="542">
        <v>12834</v>
      </c>
      <c r="E32" s="535">
        <v>7</v>
      </c>
      <c r="F32" s="542">
        <v>13220</v>
      </c>
      <c r="G32" s="535">
        <f t="shared" si="0"/>
        <v>0</v>
      </c>
      <c r="H32" s="542">
        <f t="shared" si="1"/>
        <v>386</v>
      </c>
      <c r="I32" s="542"/>
      <c r="J32" s="542">
        <v>4000</v>
      </c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customHeight="1" x14ac:dyDescent="0.25">
      <c r="A33" s="533" t="s">
        <v>292</v>
      </c>
      <c r="B33" s="531" t="s">
        <v>100</v>
      </c>
      <c r="C33" s="531">
        <v>2</v>
      </c>
      <c r="D33" s="542">
        <v>4360</v>
      </c>
      <c r="E33" s="535">
        <v>2</v>
      </c>
      <c r="F33" s="542">
        <v>3890</v>
      </c>
      <c r="G33" s="535">
        <f t="shared" si="0"/>
        <v>0</v>
      </c>
      <c r="H33" s="542">
        <f t="shared" si="1"/>
        <v>-470</v>
      </c>
      <c r="I33" s="542"/>
      <c r="J33" s="542">
        <v>1556</v>
      </c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customHeight="1" x14ac:dyDescent="0.25">
      <c r="A34" s="515" t="s">
        <v>1591</v>
      </c>
      <c r="B34" s="535" t="s">
        <v>100</v>
      </c>
      <c r="C34" s="531">
        <v>2</v>
      </c>
      <c r="D34" s="542">
        <v>4830</v>
      </c>
      <c r="E34" s="535">
        <v>3</v>
      </c>
      <c r="F34" s="542">
        <v>4929</v>
      </c>
      <c r="G34" s="535">
        <f t="shared" si="0"/>
        <v>1</v>
      </c>
      <c r="H34" s="542">
        <f t="shared" si="1"/>
        <v>99</v>
      </c>
      <c r="I34" s="542"/>
      <c r="J34" s="542">
        <v>1972</v>
      </c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customHeight="1" x14ac:dyDescent="0.25">
      <c r="A35" s="531"/>
      <c r="B35" s="535"/>
      <c r="C35" s="531"/>
      <c r="D35" s="542"/>
      <c r="E35" s="535"/>
      <c r="F35" s="542"/>
      <c r="G35" s="535">
        <f t="shared" si="0"/>
        <v>0</v>
      </c>
      <c r="H35" s="542">
        <f t="shared" si="1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customHeight="1" x14ac:dyDescent="0.25">
      <c r="A36" s="531"/>
      <c r="B36" s="535"/>
      <c r="C36" s="531"/>
      <c r="D36" s="542"/>
      <c r="E36" s="535"/>
      <c r="F36" s="542"/>
      <c r="G36" s="535">
        <f t="shared" si="0"/>
        <v>0</v>
      </c>
      <c r="H36" s="542">
        <f t="shared" si="1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4.45" customHeight="1" x14ac:dyDescent="0.25">
      <c r="A37" s="531"/>
      <c r="B37" s="535"/>
      <c r="C37" s="531"/>
      <c r="D37" s="542"/>
      <c r="E37" s="535"/>
      <c r="F37" s="542"/>
      <c r="G37" s="535">
        <f t="shared" ref="G37:G68" si="4">E37-C37</f>
        <v>0</v>
      </c>
      <c r="H37" s="542">
        <f t="shared" ref="H37:H68" si="5">F37-D37</f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2"/>
        <v>0</v>
      </c>
    </row>
    <row r="38" spans="1:26" ht="14.45" hidden="1" customHeight="1" x14ac:dyDescent="0.25">
      <c r="A38" s="530"/>
      <c r="B38" s="535"/>
      <c r="C38" s="531"/>
      <c r="D38" s="542"/>
      <c r="E38" s="535"/>
      <c r="F38" s="542"/>
      <c r="G38" s="535">
        <f t="shared" si="4"/>
        <v>0</v>
      </c>
      <c r="H38" s="542">
        <f t="shared" si="5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2"/>
        <v>0</v>
      </c>
    </row>
    <row r="39" spans="1:26" ht="14.45" hidden="1" customHeight="1" x14ac:dyDescent="0.25">
      <c r="A39" s="530"/>
      <c r="B39" s="535"/>
      <c r="C39" s="531"/>
      <c r="D39" s="542"/>
      <c r="E39" s="535"/>
      <c r="F39" s="542"/>
      <c r="G39" s="535">
        <f t="shared" si="4"/>
        <v>0</v>
      </c>
      <c r="H39" s="542">
        <f t="shared" si="5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2"/>
        <v>0</v>
      </c>
    </row>
    <row r="40" spans="1:26" ht="14.45" hidden="1" customHeight="1" x14ac:dyDescent="0.25">
      <c r="A40" s="530"/>
      <c r="B40" s="535"/>
      <c r="C40" s="531"/>
      <c r="D40" s="542"/>
      <c r="E40" s="535"/>
      <c r="F40" s="542"/>
      <c r="G40" s="535">
        <f t="shared" si="4"/>
        <v>0</v>
      </c>
      <c r="H40" s="542">
        <f t="shared" si="5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2"/>
        <v>0</v>
      </c>
    </row>
    <row r="41" spans="1:26" ht="14.45" hidden="1" customHeight="1" x14ac:dyDescent="0.25">
      <c r="A41" s="530"/>
      <c r="B41" s="535"/>
      <c r="C41" s="531"/>
      <c r="D41" s="542"/>
      <c r="E41" s="535"/>
      <c r="F41" s="542"/>
      <c r="G41" s="535">
        <f t="shared" si="4"/>
        <v>0</v>
      </c>
      <c r="H41" s="542">
        <f t="shared" si="5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2"/>
        <v>0</v>
      </c>
    </row>
    <row r="42" spans="1:26" ht="14.45" hidden="1" customHeight="1" x14ac:dyDescent="0.25">
      <c r="A42" s="530"/>
      <c r="B42" s="535"/>
      <c r="C42" s="531"/>
      <c r="D42" s="542"/>
      <c r="E42" s="535"/>
      <c r="F42" s="542"/>
      <c r="G42" s="535">
        <f t="shared" si="4"/>
        <v>0</v>
      </c>
      <c r="H42" s="542">
        <f t="shared" si="5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2"/>
        <v>0</v>
      </c>
    </row>
    <row r="43" spans="1:26" ht="15" hidden="1" customHeight="1" x14ac:dyDescent="0.25">
      <c r="A43" s="530"/>
      <c r="B43" s="535"/>
      <c r="C43" s="531"/>
      <c r="D43" s="542"/>
      <c r="E43" s="535"/>
      <c r="F43" s="542"/>
      <c r="G43" s="535">
        <f t="shared" si="4"/>
        <v>0</v>
      </c>
      <c r="H43" s="542">
        <f t="shared" si="5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2"/>
        <v>0</v>
      </c>
    </row>
    <row r="44" spans="1:26" ht="15" hidden="1" customHeight="1" x14ac:dyDescent="0.25">
      <c r="A44" s="530"/>
      <c r="B44" s="535"/>
      <c r="C44" s="531"/>
      <c r="D44" s="542"/>
      <c r="E44" s="535"/>
      <c r="F44" s="542"/>
      <c r="G44" s="535">
        <f t="shared" si="4"/>
        <v>0</v>
      </c>
      <c r="H44" s="542">
        <f t="shared" si="5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2"/>
        <v>0</v>
      </c>
    </row>
    <row r="45" spans="1:26" ht="15" hidden="1" customHeight="1" x14ac:dyDescent="0.25">
      <c r="A45" s="530"/>
      <c r="B45" s="535"/>
      <c r="C45" s="531"/>
      <c r="D45" s="542"/>
      <c r="E45" s="535"/>
      <c r="F45" s="542"/>
      <c r="G45" s="535">
        <f t="shared" si="4"/>
        <v>0</v>
      </c>
      <c r="H45" s="542">
        <f t="shared" si="5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2"/>
        <v>0</v>
      </c>
    </row>
    <row r="46" spans="1:26" ht="15" hidden="1" customHeight="1" x14ac:dyDescent="0.25">
      <c r="A46" s="530"/>
      <c r="B46" s="535"/>
      <c r="C46" s="531"/>
      <c r="D46" s="542"/>
      <c r="E46" s="535"/>
      <c r="F46" s="542"/>
      <c r="G46" s="535">
        <f t="shared" si="4"/>
        <v>0</v>
      </c>
      <c r="H46" s="542">
        <f t="shared" si="5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2"/>
        <v>0</v>
      </c>
    </row>
    <row r="47" spans="1:26" ht="15" hidden="1" customHeight="1" x14ac:dyDescent="0.25">
      <c r="A47" s="530"/>
      <c r="B47" s="535"/>
      <c r="C47" s="531"/>
      <c r="D47" s="542"/>
      <c r="E47" s="535"/>
      <c r="F47" s="542"/>
      <c r="G47" s="535">
        <f t="shared" si="4"/>
        <v>0</v>
      </c>
      <c r="H47" s="542">
        <f t="shared" si="5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2"/>
        <v>0</v>
      </c>
    </row>
    <row r="48" spans="1:26" ht="15" hidden="1" customHeight="1" x14ac:dyDescent="0.25">
      <c r="A48" s="537"/>
      <c r="B48" s="535"/>
      <c r="C48" s="531"/>
      <c r="D48" s="542"/>
      <c r="E48" s="535"/>
      <c r="F48" s="542"/>
      <c r="G48" s="535">
        <f t="shared" si="4"/>
        <v>0</v>
      </c>
      <c r="H48" s="542">
        <f t="shared" si="5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2"/>
        <v>0</v>
      </c>
    </row>
    <row r="49" spans="1:26" ht="15" hidden="1" customHeight="1" x14ac:dyDescent="0.25">
      <c r="A49" s="531"/>
      <c r="B49" s="535"/>
      <c r="C49" s="531"/>
      <c r="D49" s="542"/>
      <c r="E49" s="535"/>
      <c r="F49" s="542"/>
      <c r="G49" s="535">
        <f t="shared" si="4"/>
        <v>0</v>
      </c>
      <c r="H49" s="542">
        <f t="shared" si="5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2"/>
        <v>0</v>
      </c>
    </row>
    <row r="50" spans="1:26" ht="15" hidden="1" customHeight="1" x14ac:dyDescent="0.25">
      <c r="A50" s="530"/>
      <c r="B50" s="535"/>
      <c r="C50" s="530"/>
      <c r="D50" s="542"/>
      <c r="E50" s="535"/>
      <c r="F50" s="542"/>
      <c r="G50" s="535">
        <f t="shared" si="4"/>
        <v>0</v>
      </c>
      <c r="H50" s="542">
        <f t="shared" si="5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2"/>
        <v>0</v>
      </c>
    </row>
    <row r="51" spans="1:26" ht="15" hidden="1" customHeight="1" x14ac:dyDescent="0.25">
      <c r="A51" s="530"/>
      <c r="B51" s="535"/>
      <c r="C51" s="530"/>
      <c r="D51" s="542"/>
      <c r="E51" s="535"/>
      <c r="F51" s="542"/>
      <c r="G51" s="535">
        <f t="shared" si="4"/>
        <v>0</v>
      </c>
      <c r="H51" s="542">
        <f t="shared" si="5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2"/>
        <v>0</v>
      </c>
    </row>
    <row r="52" spans="1:26" ht="15" hidden="1" customHeight="1" x14ac:dyDescent="0.25">
      <c r="A52" s="530"/>
      <c r="B52" s="535"/>
      <c r="C52" s="530"/>
      <c r="D52" s="542"/>
      <c r="E52" s="535"/>
      <c r="F52" s="542"/>
      <c r="G52" s="535">
        <f t="shared" si="4"/>
        <v>0</v>
      </c>
      <c r="H52" s="542">
        <f t="shared" si="5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2"/>
        <v>0</v>
      </c>
    </row>
    <row r="53" spans="1:26" ht="15" hidden="1" customHeight="1" x14ac:dyDescent="0.25">
      <c r="A53" s="530"/>
      <c r="B53" s="535"/>
      <c r="C53" s="530"/>
      <c r="D53" s="542"/>
      <c r="E53" s="535"/>
      <c r="F53" s="542"/>
      <c r="G53" s="535">
        <f t="shared" si="4"/>
        <v>0</v>
      </c>
      <c r="H53" s="542">
        <f t="shared" si="5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2"/>
        <v>0</v>
      </c>
    </row>
    <row r="54" spans="1:26" ht="15" hidden="1" customHeight="1" x14ac:dyDescent="0.25">
      <c r="A54" s="530"/>
      <c r="B54" s="535"/>
      <c r="C54" s="530"/>
      <c r="D54" s="542"/>
      <c r="E54" s="535"/>
      <c r="F54" s="542"/>
      <c r="G54" s="535">
        <f t="shared" si="4"/>
        <v>0</v>
      </c>
      <c r="H54" s="542">
        <f t="shared" si="5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2"/>
        <v>0</v>
      </c>
    </row>
    <row r="55" spans="1:26" ht="15" hidden="1" customHeight="1" x14ac:dyDescent="0.25">
      <c r="A55" s="530"/>
      <c r="B55" s="535"/>
      <c r="C55" s="530"/>
      <c r="D55" s="542"/>
      <c r="E55" s="535"/>
      <c r="F55" s="542"/>
      <c r="G55" s="535">
        <f t="shared" si="4"/>
        <v>0</v>
      </c>
      <c r="H55" s="542">
        <f t="shared" si="5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2"/>
        <v>0</v>
      </c>
    </row>
    <row r="56" spans="1:26" ht="15" hidden="1" customHeight="1" x14ac:dyDescent="0.25">
      <c r="A56" s="530"/>
      <c r="B56" s="535"/>
      <c r="C56" s="530"/>
      <c r="D56" s="542"/>
      <c r="E56" s="535"/>
      <c r="F56" s="542"/>
      <c r="G56" s="535">
        <f t="shared" si="4"/>
        <v>0</v>
      </c>
      <c r="H56" s="542">
        <f t="shared" si="5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2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4"/>
        <v>0</v>
      </c>
      <c r="H57" s="542">
        <f t="shared" si="5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2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4"/>
        <v>0</v>
      </c>
      <c r="H58" s="542">
        <f t="shared" si="5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2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4"/>
        <v>0</v>
      </c>
      <c r="H59" s="542">
        <f t="shared" si="5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2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4"/>
        <v>0</v>
      </c>
      <c r="H60" s="542">
        <f t="shared" si="5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2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4"/>
        <v>0</v>
      </c>
      <c r="H61" s="542">
        <f t="shared" si="5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2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4"/>
        <v>0</v>
      </c>
      <c r="H62" s="542">
        <f t="shared" si="5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2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4"/>
        <v>0</v>
      </c>
      <c r="H63" s="542">
        <f t="shared" si="5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2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4"/>
        <v>0</v>
      </c>
      <c r="H64" s="542">
        <f t="shared" si="5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2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si="4"/>
        <v>0</v>
      </c>
      <c r="H65" s="542">
        <f t="shared" si="5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2"/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4"/>
        <v>0</v>
      </c>
      <c r="H66" s="542">
        <f t="shared" si="5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2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4"/>
        <v>0</v>
      </c>
      <c r="H67" s="542">
        <f t="shared" si="5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2"/>
        <v>0</v>
      </c>
    </row>
    <row r="68" spans="1:26" ht="15" hidden="1" customHeight="1" x14ac:dyDescent="0.25">
      <c r="A68" s="530"/>
      <c r="B68" s="535"/>
      <c r="C68" s="531"/>
      <c r="D68" s="542"/>
      <c r="E68" s="535"/>
      <c r="F68" s="542"/>
      <c r="G68" s="535">
        <f t="shared" si="4"/>
        <v>0</v>
      </c>
      <c r="H68" s="542">
        <f t="shared" si="5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2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ref="G69:G83" si="6">E69-C69</f>
        <v>0</v>
      </c>
      <c r="H69" s="542">
        <f t="shared" ref="H69:H83" si="7">F69-D69</f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8">SUM(K69:Y69)</f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6"/>
        <v>0</v>
      </c>
      <c r="H70" s="542">
        <f t="shared" si="7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8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6"/>
        <v>0</v>
      </c>
      <c r="H71" s="542">
        <f t="shared" si="7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8"/>
        <v>0</v>
      </c>
    </row>
    <row r="72" spans="1:26" ht="15" hidden="1" customHeight="1" x14ac:dyDescent="0.25">
      <c r="A72" s="534"/>
      <c r="B72" s="535"/>
      <c r="C72" s="531"/>
      <c r="D72" s="542"/>
      <c r="E72" s="535"/>
      <c r="F72" s="542"/>
      <c r="G72" s="535">
        <f t="shared" si="6"/>
        <v>0</v>
      </c>
      <c r="H72" s="542">
        <f t="shared" si="7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8"/>
        <v>0</v>
      </c>
    </row>
    <row r="73" spans="1:26" ht="15" hidden="1" customHeight="1" x14ac:dyDescent="0.25">
      <c r="A73" s="530"/>
      <c r="B73" s="535"/>
      <c r="C73" s="531"/>
      <c r="D73" s="542"/>
      <c r="E73" s="535"/>
      <c r="F73" s="542"/>
      <c r="G73" s="535">
        <f t="shared" si="6"/>
        <v>0</v>
      </c>
      <c r="H73" s="542">
        <f t="shared" si="7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8"/>
        <v>0</v>
      </c>
    </row>
    <row r="74" spans="1:26" ht="15" hidden="1" customHeight="1" x14ac:dyDescent="0.25">
      <c r="A74" s="534"/>
      <c r="B74" s="535"/>
      <c r="C74" s="531"/>
      <c r="D74" s="542"/>
      <c r="E74" s="535"/>
      <c r="F74" s="542"/>
      <c r="G74" s="535">
        <f t="shared" si="6"/>
        <v>0</v>
      </c>
      <c r="H74" s="542">
        <f t="shared" si="7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8"/>
        <v>0</v>
      </c>
    </row>
    <row r="75" spans="1:26" ht="15" hidden="1" customHeight="1" x14ac:dyDescent="0.25">
      <c r="A75" s="530"/>
      <c r="B75" s="535"/>
      <c r="C75" s="531"/>
      <c r="D75" s="542"/>
      <c r="E75" s="535"/>
      <c r="F75" s="542"/>
      <c r="G75" s="535">
        <f t="shared" si="6"/>
        <v>0</v>
      </c>
      <c r="H75" s="542">
        <f t="shared" si="7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8"/>
        <v>0</v>
      </c>
    </row>
    <row r="76" spans="1:26" ht="15" hidden="1" customHeight="1" x14ac:dyDescent="0.25">
      <c r="A76" s="533"/>
      <c r="B76" s="535"/>
      <c r="C76" s="531"/>
      <c r="D76" s="542"/>
      <c r="E76" s="535"/>
      <c r="F76" s="542"/>
      <c r="G76" s="535">
        <f t="shared" si="6"/>
        <v>0</v>
      </c>
      <c r="H76" s="542">
        <f t="shared" si="7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8"/>
        <v>0</v>
      </c>
    </row>
    <row r="77" spans="1:26" ht="15" hidden="1" customHeight="1" x14ac:dyDescent="0.25">
      <c r="A77" s="530"/>
      <c r="B77" s="535"/>
      <c r="C77" s="531"/>
      <c r="D77" s="542"/>
      <c r="E77" s="535"/>
      <c r="F77" s="542"/>
      <c r="G77" s="535">
        <f t="shared" si="6"/>
        <v>0</v>
      </c>
      <c r="H77" s="542">
        <f t="shared" si="7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8"/>
        <v>0</v>
      </c>
    </row>
    <row r="78" spans="1:26" ht="15" hidden="1" customHeight="1" x14ac:dyDescent="0.25">
      <c r="A78" s="530"/>
      <c r="B78" s="535"/>
      <c r="C78" s="531"/>
      <c r="D78" s="542"/>
      <c r="E78" s="535"/>
      <c r="F78" s="542"/>
      <c r="G78" s="535">
        <f t="shared" si="6"/>
        <v>0</v>
      </c>
      <c r="H78" s="542">
        <f t="shared" si="7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8"/>
        <v>0</v>
      </c>
    </row>
    <row r="79" spans="1:26" ht="15" hidden="1" customHeight="1" x14ac:dyDescent="0.25">
      <c r="A79" s="530"/>
      <c r="B79" s="535"/>
      <c r="C79" s="531"/>
      <c r="D79" s="542"/>
      <c r="E79" s="535"/>
      <c r="F79" s="542"/>
      <c r="G79" s="535">
        <f t="shared" si="6"/>
        <v>0</v>
      </c>
      <c r="H79" s="542">
        <f t="shared" si="7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8"/>
        <v>0</v>
      </c>
    </row>
    <row r="80" spans="1:26" ht="15" hidden="1" customHeight="1" x14ac:dyDescent="0.25">
      <c r="A80" s="538"/>
      <c r="B80" s="535"/>
      <c r="C80" s="535"/>
      <c r="D80" s="542"/>
      <c r="E80" s="535"/>
      <c r="F80" s="542"/>
      <c r="G80" s="535">
        <f t="shared" si="6"/>
        <v>0</v>
      </c>
      <c r="H80" s="542">
        <f t="shared" si="7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8"/>
        <v>0</v>
      </c>
    </row>
    <row r="81" spans="1:26" ht="15" hidden="1" customHeight="1" x14ac:dyDescent="0.25">
      <c r="A81" s="535"/>
      <c r="B81" s="535"/>
      <c r="C81" s="535"/>
      <c r="D81" s="542"/>
      <c r="E81" s="535"/>
      <c r="F81" s="542"/>
      <c r="G81" s="535">
        <f t="shared" si="6"/>
        <v>0</v>
      </c>
      <c r="H81" s="542">
        <f t="shared" si="7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8"/>
        <v>0</v>
      </c>
    </row>
    <row r="82" spans="1:26" ht="15" hidden="1" customHeight="1" x14ac:dyDescent="0.25">
      <c r="A82" s="535"/>
      <c r="B82" s="535"/>
      <c r="C82" s="535"/>
      <c r="D82" s="542"/>
      <c r="E82" s="535"/>
      <c r="F82" s="542"/>
      <c r="G82" s="535">
        <f t="shared" si="6"/>
        <v>0</v>
      </c>
      <c r="H82" s="542">
        <f t="shared" si="7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8"/>
        <v>0</v>
      </c>
    </row>
    <row r="83" spans="1:26" ht="15" hidden="1" customHeight="1" x14ac:dyDescent="0.25">
      <c r="A83" s="535"/>
      <c r="B83" s="535"/>
      <c r="C83" s="535"/>
      <c r="D83" s="542"/>
      <c r="E83" s="535"/>
      <c r="F83" s="542"/>
      <c r="G83" s="535">
        <f t="shared" si="6"/>
        <v>0</v>
      </c>
      <c r="H83" s="542">
        <f t="shared" si="7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8"/>
        <v>0</v>
      </c>
    </row>
    <row r="84" spans="1:26" ht="15" customHeight="1" x14ac:dyDescent="0.25">
      <c r="A84" s="443" t="s">
        <v>1221</v>
      </c>
      <c r="B84" s="444"/>
      <c r="C84" s="447">
        <f t="shared" ref="C84:Z84" si="9">SUM(C5:C83)</f>
        <v>191</v>
      </c>
      <c r="D84" s="448">
        <f t="shared" si="9"/>
        <v>278797.3</v>
      </c>
      <c r="E84" s="447">
        <f t="shared" si="9"/>
        <v>193</v>
      </c>
      <c r="F84" s="448">
        <f t="shared" si="9"/>
        <v>270095</v>
      </c>
      <c r="G84" s="447">
        <f t="shared" si="9"/>
        <v>2</v>
      </c>
      <c r="H84" s="448">
        <f>SUM(H5:H83)</f>
        <v>-8702.2999999999975</v>
      </c>
      <c r="I84" s="448">
        <f t="shared" si="9"/>
        <v>0</v>
      </c>
      <c r="J84" s="447">
        <f t="shared" si="9"/>
        <v>90740.5</v>
      </c>
      <c r="K84" s="448">
        <f t="shared" si="9"/>
        <v>0</v>
      </c>
      <c r="L84" s="447">
        <f t="shared" si="9"/>
        <v>0</v>
      </c>
      <c r="M84" s="447">
        <f t="shared" si="9"/>
        <v>0</v>
      </c>
      <c r="N84" s="447">
        <f t="shared" si="9"/>
        <v>0</v>
      </c>
      <c r="O84" s="447">
        <f t="shared" si="9"/>
        <v>0</v>
      </c>
      <c r="P84" s="447">
        <f t="shared" si="9"/>
        <v>0</v>
      </c>
      <c r="Q84" s="447">
        <f t="shared" si="9"/>
        <v>0</v>
      </c>
      <c r="R84" s="447">
        <f t="shared" si="9"/>
        <v>0</v>
      </c>
      <c r="S84" s="447">
        <f t="shared" si="9"/>
        <v>0</v>
      </c>
      <c r="T84" s="447">
        <f t="shared" si="9"/>
        <v>0</v>
      </c>
      <c r="U84" s="447">
        <f t="shared" si="9"/>
        <v>0</v>
      </c>
      <c r="V84" s="447">
        <f t="shared" si="9"/>
        <v>0</v>
      </c>
      <c r="W84" s="447">
        <f t="shared" si="9"/>
        <v>0</v>
      </c>
      <c r="X84" s="447">
        <f t="shared" si="9"/>
        <v>0</v>
      </c>
      <c r="Y84" s="447">
        <f t="shared" si="9"/>
        <v>0</v>
      </c>
      <c r="Z84" s="447">
        <f t="shared" si="9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s="535" customFormat="1" x14ac:dyDescent="0.25">
      <c r="A88" s="538" t="s">
        <v>1571</v>
      </c>
      <c r="B88" s="535" t="s">
        <v>115</v>
      </c>
      <c r="C88" s="487">
        <v>42475</v>
      </c>
      <c r="D88" s="488">
        <v>42535</v>
      </c>
      <c r="E88" s="486">
        <v>59</v>
      </c>
      <c r="F88" s="488">
        <v>42535</v>
      </c>
      <c r="G88" s="486">
        <v>8</v>
      </c>
      <c r="H88" s="539">
        <v>13144</v>
      </c>
      <c r="I88" s="539">
        <v>2500</v>
      </c>
      <c r="J88" s="539">
        <v>5258</v>
      </c>
      <c r="K88" s="535">
        <v>1</v>
      </c>
      <c r="L88" s="535">
        <v>1</v>
      </c>
      <c r="N88" s="535">
        <v>1</v>
      </c>
      <c r="O88" s="535">
        <v>1</v>
      </c>
      <c r="P88" s="535">
        <v>1</v>
      </c>
      <c r="Q88" s="535">
        <v>1</v>
      </c>
      <c r="R88" s="535">
        <v>1</v>
      </c>
      <c r="U88" s="535">
        <v>1</v>
      </c>
      <c r="Z88" s="535">
        <f t="shared" ref="Z88:Z95" si="10">SUM(K88:Y88)</f>
        <v>8</v>
      </c>
    </row>
    <row r="89" spans="1:26" ht="15" customHeight="1" x14ac:dyDescent="0.25">
      <c r="A89" s="553" t="s">
        <v>1587</v>
      </c>
      <c r="B89" s="496" t="s">
        <v>115</v>
      </c>
      <c r="C89" s="497">
        <v>42419</v>
      </c>
      <c r="D89" s="498">
        <v>42550</v>
      </c>
      <c r="E89" s="499">
        <v>130</v>
      </c>
      <c r="F89" s="498">
        <v>42536</v>
      </c>
      <c r="G89" s="499">
        <v>6</v>
      </c>
      <c r="H89" s="554">
        <f>9570+2200</f>
        <v>11770</v>
      </c>
      <c r="I89" s="554">
        <f>2500+2800</f>
        <v>5300</v>
      </c>
      <c r="J89" s="554">
        <v>3828</v>
      </c>
      <c r="K89" s="496">
        <v>1</v>
      </c>
      <c r="L89" s="496">
        <v>1</v>
      </c>
      <c r="M89" s="496"/>
      <c r="N89" s="496">
        <v>1</v>
      </c>
      <c r="O89" s="496">
        <v>1</v>
      </c>
      <c r="P89" s="496"/>
      <c r="Q89" s="496">
        <v>1</v>
      </c>
      <c r="R89" s="496">
        <v>1</v>
      </c>
      <c r="S89" s="496"/>
      <c r="T89" s="496"/>
      <c r="U89" s="496"/>
      <c r="V89" s="496"/>
      <c r="W89" s="496"/>
      <c r="X89" s="496"/>
      <c r="Y89" s="496"/>
      <c r="Z89" s="535">
        <f t="shared" si="10"/>
        <v>6</v>
      </c>
    </row>
    <row r="90" spans="1:26" ht="15" customHeight="1" x14ac:dyDescent="0.25">
      <c r="A90" s="538" t="s">
        <v>1592</v>
      </c>
      <c r="B90" s="535" t="s">
        <v>115</v>
      </c>
      <c r="C90" s="487"/>
      <c r="D90" s="488"/>
      <c r="E90" s="486"/>
      <c r="F90" s="488">
        <v>42551</v>
      </c>
      <c r="G90" s="486">
        <v>4</v>
      </c>
      <c r="H90" s="539">
        <v>5025</v>
      </c>
      <c r="I90" s="456">
        <v>2500</v>
      </c>
      <c r="J90" s="456">
        <v>2010</v>
      </c>
      <c r="K90" s="535">
        <v>1</v>
      </c>
      <c r="L90" s="535">
        <v>1</v>
      </c>
      <c r="M90" s="535"/>
      <c r="N90" s="535"/>
      <c r="O90" s="535"/>
      <c r="P90" s="535">
        <v>1</v>
      </c>
      <c r="Q90" s="535">
        <v>1</v>
      </c>
      <c r="R90" s="535"/>
      <c r="S90" s="535"/>
      <c r="T90" s="535"/>
      <c r="U90" s="535"/>
      <c r="V90" s="535"/>
      <c r="W90" s="535"/>
      <c r="X90" s="535"/>
      <c r="Y90" s="535"/>
      <c r="Z90" s="535">
        <f t="shared" si="10"/>
        <v>4</v>
      </c>
    </row>
    <row r="91" spans="1:26" ht="29.45" customHeight="1" x14ac:dyDescent="0.25">
      <c r="A91" s="535" t="s">
        <v>1550</v>
      </c>
      <c r="B91" s="535" t="s">
        <v>100</v>
      </c>
      <c r="C91" s="506">
        <v>42342</v>
      </c>
      <c r="D91" s="506">
        <v>42495</v>
      </c>
      <c r="E91" s="535">
        <v>151</v>
      </c>
      <c r="F91" s="506">
        <v>42522</v>
      </c>
      <c r="G91" s="530">
        <v>1</v>
      </c>
      <c r="H91" s="532">
        <v>1550</v>
      </c>
      <c r="I91" s="539">
        <v>5000</v>
      </c>
      <c r="J91" s="539">
        <v>0</v>
      </c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>
        <v>1</v>
      </c>
      <c r="X91" s="535"/>
      <c r="Y91" s="535"/>
      <c r="Z91" s="535">
        <f t="shared" si="10"/>
        <v>1</v>
      </c>
    </row>
    <row r="92" spans="1:26" ht="15" customHeight="1" x14ac:dyDescent="0.25">
      <c r="A92" s="538" t="s">
        <v>1583</v>
      </c>
      <c r="B92" s="535" t="s">
        <v>100</v>
      </c>
      <c r="C92" s="487">
        <v>42489</v>
      </c>
      <c r="D92" s="488">
        <v>42549</v>
      </c>
      <c r="E92" s="486">
        <v>59</v>
      </c>
      <c r="F92" s="488">
        <v>42542</v>
      </c>
      <c r="G92" s="486">
        <v>5</v>
      </c>
      <c r="H92" s="539">
        <v>8215</v>
      </c>
      <c r="I92" s="539">
        <v>2500</v>
      </c>
      <c r="J92" s="539">
        <v>3286</v>
      </c>
      <c r="K92" s="535">
        <v>1</v>
      </c>
      <c r="L92" s="535">
        <v>1</v>
      </c>
      <c r="M92" s="535">
        <v>1</v>
      </c>
      <c r="N92" s="535"/>
      <c r="O92" s="535"/>
      <c r="P92" s="535"/>
      <c r="Q92" s="535">
        <v>1</v>
      </c>
      <c r="R92" s="535"/>
      <c r="S92" s="535">
        <v>1</v>
      </c>
      <c r="T92" s="535"/>
      <c r="U92" s="535"/>
      <c r="V92" s="535"/>
      <c r="W92" s="535"/>
      <c r="X92" s="535"/>
      <c r="Y92" s="535"/>
      <c r="Z92" s="535">
        <f t="shared" si="10"/>
        <v>5</v>
      </c>
    </row>
    <row r="93" spans="1:26" ht="15" customHeight="1" x14ac:dyDescent="0.25">
      <c r="A93" s="538" t="s">
        <v>1584</v>
      </c>
      <c r="B93" s="535" t="s">
        <v>100</v>
      </c>
      <c r="C93" s="487">
        <v>42489</v>
      </c>
      <c r="D93" s="488">
        <v>42549</v>
      </c>
      <c r="E93" s="486">
        <v>59</v>
      </c>
      <c r="F93" s="488">
        <v>42542</v>
      </c>
      <c r="G93" s="486">
        <v>4</v>
      </c>
      <c r="H93" s="539">
        <v>6572</v>
      </c>
      <c r="I93" s="539">
        <v>2500</v>
      </c>
      <c r="J93" s="539">
        <v>2629</v>
      </c>
      <c r="K93" s="535">
        <v>1</v>
      </c>
      <c r="L93" s="535">
        <v>1</v>
      </c>
      <c r="M93" s="535"/>
      <c r="N93" s="535"/>
      <c r="O93" s="535"/>
      <c r="P93" s="535"/>
      <c r="Q93" s="535">
        <v>1</v>
      </c>
      <c r="R93" s="535"/>
      <c r="S93" s="535">
        <v>1</v>
      </c>
      <c r="T93" s="535"/>
      <c r="U93" s="535"/>
      <c r="V93" s="535"/>
      <c r="W93" s="535"/>
      <c r="X93" s="535"/>
      <c r="Y93" s="535"/>
      <c r="Z93" s="535">
        <f t="shared" si="10"/>
        <v>4</v>
      </c>
    </row>
    <row r="94" spans="1:26" ht="15" customHeight="1" x14ac:dyDescent="0.25">
      <c r="A94" s="538" t="s">
        <v>1585</v>
      </c>
      <c r="B94" s="535" t="s">
        <v>100</v>
      </c>
      <c r="C94" s="487">
        <v>42406</v>
      </c>
      <c r="D94" s="488">
        <v>42549</v>
      </c>
      <c r="E94" s="486">
        <v>142</v>
      </c>
      <c r="F94" s="488">
        <v>42549</v>
      </c>
      <c r="G94" s="486">
        <v>3</v>
      </c>
      <c r="H94" s="539">
        <v>4785</v>
      </c>
      <c r="I94" s="539">
        <v>5000</v>
      </c>
      <c r="J94" s="539">
        <v>1914</v>
      </c>
      <c r="K94" s="535"/>
      <c r="L94" s="535"/>
      <c r="M94" s="535"/>
      <c r="N94" s="535">
        <v>1</v>
      </c>
      <c r="O94" s="535"/>
      <c r="P94" s="535">
        <v>1</v>
      </c>
      <c r="Q94" s="535"/>
      <c r="R94" s="535"/>
      <c r="S94" s="535"/>
      <c r="T94" s="535"/>
      <c r="U94" s="535">
        <v>1</v>
      </c>
      <c r="V94" s="535"/>
      <c r="W94" s="535"/>
      <c r="X94" s="535"/>
      <c r="Y94" s="535"/>
      <c r="Z94" s="535">
        <f t="shared" si="10"/>
        <v>3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>
        <f t="shared" si="10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SUM(G88:G95)</f>
        <v>31</v>
      </c>
      <c r="H96" s="448">
        <f>SUM(H88:H95)</f>
        <v>51061</v>
      </c>
      <c r="I96" s="448">
        <f>SUM(I88:I95)</f>
        <v>25300</v>
      </c>
      <c r="J96" s="448">
        <f>SUM(J88:J95)</f>
        <v>18925</v>
      </c>
      <c r="K96" s="447">
        <f>SUM(K88:K95)</f>
        <v>5</v>
      </c>
      <c r="L96" s="447">
        <f t="shared" ref="L96:Y96" si="11">SUM(L88:L95)</f>
        <v>5</v>
      </c>
      <c r="M96" s="447">
        <f t="shared" si="11"/>
        <v>1</v>
      </c>
      <c r="N96" s="447">
        <f t="shared" si="11"/>
        <v>3</v>
      </c>
      <c r="O96" s="447">
        <f t="shared" si="11"/>
        <v>2</v>
      </c>
      <c r="P96" s="447">
        <f t="shared" si="11"/>
        <v>3</v>
      </c>
      <c r="Q96" s="447">
        <f t="shared" si="11"/>
        <v>5</v>
      </c>
      <c r="R96" s="447">
        <f t="shared" si="11"/>
        <v>2</v>
      </c>
      <c r="S96" s="447">
        <f t="shared" si="11"/>
        <v>2</v>
      </c>
      <c r="T96" s="447">
        <f t="shared" si="11"/>
        <v>0</v>
      </c>
      <c r="U96" s="447">
        <f t="shared" si="11"/>
        <v>2</v>
      </c>
      <c r="V96" s="447">
        <f t="shared" si="11"/>
        <v>0</v>
      </c>
      <c r="W96" s="447">
        <f t="shared" si="11"/>
        <v>1</v>
      </c>
      <c r="X96" s="447">
        <f t="shared" si="11"/>
        <v>0</v>
      </c>
      <c r="Y96" s="447">
        <f t="shared" si="11"/>
        <v>0</v>
      </c>
      <c r="Z96" s="447">
        <f>SUM(Z88:Z95)</f>
        <v>31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46" t="s">
        <v>1</v>
      </c>
      <c r="B99" s="546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38" t="s">
        <v>1572</v>
      </c>
      <c r="B100" s="535" t="s">
        <v>115</v>
      </c>
      <c r="C100" s="487">
        <v>42493</v>
      </c>
      <c r="D100" s="488">
        <v>42517</v>
      </c>
      <c r="E100" s="486">
        <v>24</v>
      </c>
      <c r="F100" s="488">
        <v>42522</v>
      </c>
      <c r="G100" s="486">
        <v>1</v>
      </c>
      <c r="H100" s="539">
        <f>1550+2200</f>
        <v>3750</v>
      </c>
      <c r="I100" s="456">
        <v>2800</v>
      </c>
      <c r="J100" s="456">
        <v>620</v>
      </c>
      <c r="K100" s="535">
        <v>1</v>
      </c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1</v>
      </c>
    </row>
    <row r="101" spans="1:26" s="457" customFormat="1" ht="15" customHeight="1" x14ac:dyDescent="0.25">
      <c r="A101" s="538" t="s">
        <v>1234</v>
      </c>
      <c r="B101" s="452" t="s">
        <v>115</v>
      </c>
      <c r="C101" s="453">
        <v>42347</v>
      </c>
      <c r="D101" s="454">
        <v>42535</v>
      </c>
      <c r="E101" s="455">
        <v>175</v>
      </c>
      <c r="F101" s="454">
        <v>42522</v>
      </c>
      <c r="G101" s="455">
        <v>1</v>
      </c>
      <c r="H101" s="456">
        <v>865</v>
      </c>
      <c r="I101" s="456">
        <v>0</v>
      </c>
      <c r="J101" s="456">
        <v>346</v>
      </c>
      <c r="K101" s="452"/>
      <c r="L101" s="452"/>
      <c r="M101" s="452"/>
      <c r="N101" s="452"/>
      <c r="O101" s="452"/>
      <c r="P101" s="452">
        <v>1</v>
      </c>
      <c r="Q101" s="452"/>
      <c r="R101" s="452"/>
      <c r="S101" s="452"/>
      <c r="T101" s="452"/>
      <c r="U101" s="452"/>
      <c r="V101" s="452"/>
      <c r="W101" s="452"/>
      <c r="X101" s="452"/>
      <c r="Y101" s="452"/>
      <c r="Z101" s="535">
        <f t="shared" ref="Z101:Z107" si="12">SUM(K101:Y101)</f>
        <v>1</v>
      </c>
    </row>
    <row r="102" spans="1:26" s="457" customFormat="1" ht="15" customHeight="1" x14ac:dyDescent="0.25">
      <c r="A102" s="538" t="s">
        <v>1575</v>
      </c>
      <c r="B102" s="452" t="s">
        <v>115</v>
      </c>
      <c r="C102" s="453">
        <v>42529</v>
      </c>
      <c r="D102" s="454">
        <v>42543</v>
      </c>
      <c r="E102" s="455">
        <v>14</v>
      </c>
      <c r="F102" s="454">
        <v>42543</v>
      </c>
      <c r="G102" s="455">
        <v>3</v>
      </c>
      <c r="H102" s="456">
        <f>4785-500</f>
        <v>4285</v>
      </c>
      <c r="I102" s="456">
        <v>0</v>
      </c>
      <c r="J102" s="456">
        <f>H102*0.4</f>
        <v>1714</v>
      </c>
      <c r="K102" s="452"/>
      <c r="L102" s="452"/>
      <c r="M102" s="452"/>
      <c r="N102" s="452">
        <v>1</v>
      </c>
      <c r="O102" s="452"/>
      <c r="P102" s="452">
        <v>1</v>
      </c>
      <c r="Q102" s="452"/>
      <c r="R102" s="452">
        <v>1</v>
      </c>
      <c r="S102" s="452"/>
      <c r="T102" s="452"/>
      <c r="U102" s="452"/>
      <c r="V102" s="452"/>
      <c r="W102" s="452"/>
      <c r="X102" s="452"/>
      <c r="Y102" s="452"/>
      <c r="Z102" s="535">
        <f t="shared" si="12"/>
        <v>3</v>
      </c>
    </row>
    <row r="103" spans="1:26" s="457" customFormat="1" ht="15" customHeight="1" x14ac:dyDescent="0.25">
      <c r="A103" s="538" t="s">
        <v>1185</v>
      </c>
      <c r="B103" s="535" t="s">
        <v>115</v>
      </c>
      <c r="C103" s="487">
        <v>42237</v>
      </c>
      <c r="D103" s="488">
        <v>42529</v>
      </c>
      <c r="E103" s="486">
        <v>287</v>
      </c>
      <c r="F103" s="488">
        <v>42552</v>
      </c>
      <c r="G103" s="486">
        <v>1</v>
      </c>
      <c r="H103" s="539">
        <v>1550</v>
      </c>
      <c r="I103" s="456">
        <v>0</v>
      </c>
      <c r="J103" s="456">
        <v>0</v>
      </c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>
        <v>1</v>
      </c>
      <c r="Y103" s="535"/>
      <c r="Z103" s="535">
        <f t="shared" si="12"/>
        <v>1</v>
      </c>
    </row>
    <row r="104" spans="1:26" ht="15" customHeight="1" x14ac:dyDescent="0.25">
      <c r="A104" s="538" t="s">
        <v>1586</v>
      </c>
      <c r="B104" s="452" t="s">
        <v>115</v>
      </c>
      <c r="C104" s="453">
        <v>42541</v>
      </c>
      <c r="D104" s="454">
        <v>42550</v>
      </c>
      <c r="E104" s="455">
        <v>9</v>
      </c>
      <c r="F104" s="454">
        <v>42461</v>
      </c>
      <c r="G104" s="455">
        <v>3</v>
      </c>
      <c r="H104" s="456">
        <v>4929</v>
      </c>
      <c r="I104" s="456">
        <v>0</v>
      </c>
      <c r="J104" s="456">
        <v>1972</v>
      </c>
      <c r="K104" s="452"/>
      <c r="L104" s="452"/>
      <c r="M104" s="452"/>
      <c r="N104" s="452">
        <v>1</v>
      </c>
      <c r="O104" s="452">
        <v>1</v>
      </c>
      <c r="P104" s="452"/>
      <c r="Q104" s="452"/>
      <c r="R104" s="452">
        <v>1</v>
      </c>
      <c r="S104" s="452"/>
      <c r="T104" s="452"/>
      <c r="U104" s="452"/>
      <c r="V104" s="452"/>
      <c r="W104" s="452"/>
      <c r="X104" s="452"/>
      <c r="Y104" s="452"/>
      <c r="Z104" s="535">
        <f t="shared" si="12"/>
        <v>3</v>
      </c>
    </row>
    <row r="105" spans="1:26" s="457" customFormat="1" ht="15" customHeight="1" x14ac:dyDescent="0.25">
      <c r="A105" s="538" t="s">
        <v>1593</v>
      </c>
      <c r="B105" s="452" t="s">
        <v>115</v>
      </c>
      <c r="C105" s="453"/>
      <c r="D105" s="454"/>
      <c r="E105" s="455"/>
      <c r="F105" s="454">
        <v>42551</v>
      </c>
      <c r="G105" s="455">
        <v>1</v>
      </c>
      <c r="H105" s="456">
        <v>1053</v>
      </c>
      <c r="I105" s="456"/>
      <c r="J105" s="456">
        <f>H105*0.4</f>
        <v>421.20000000000005</v>
      </c>
      <c r="K105" s="452">
        <v>1</v>
      </c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12"/>
        <v>1</v>
      </c>
    </row>
    <row r="106" spans="1:26" s="457" customFormat="1" ht="15" customHeight="1" x14ac:dyDescent="0.25">
      <c r="A106" s="538" t="s">
        <v>1594</v>
      </c>
      <c r="B106" s="452" t="s">
        <v>115</v>
      </c>
      <c r="C106" s="453"/>
      <c r="D106" s="454"/>
      <c r="E106" s="455"/>
      <c r="F106" s="454">
        <v>42551</v>
      </c>
      <c r="G106" s="455">
        <v>1</v>
      </c>
      <c r="H106" s="456">
        <v>1864</v>
      </c>
      <c r="I106" s="456"/>
      <c r="J106" s="456">
        <v>746</v>
      </c>
      <c r="K106" s="452"/>
      <c r="L106" s="452"/>
      <c r="M106" s="452"/>
      <c r="N106" s="452"/>
      <c r="O106" s="452"/>
      <c r="P106" s="452"/>
      <c r="Q106" s="452">
        <v>1</v>
      </c>
      <c r="R106" s="452"/>
      <c r="S106" s="452"/>
      <c r="T106" s="452"/>
      <c r="U106" s="452"/>
      <c r="V106" s="452"/>
      <c r="W106" s="452"/>
      <c r="X106" s="452"/>
      <c r="Y106" s="452"/>
      <c r="Z106" s="535">
        <f t="shared" si="12"/>
        <v>1</v>
      </c>
    </row>
    <row r="107" spans="1:26" s="457" customFormat="1" ht="15" customHeight="1" x14ac:dyDescent="0.25">
      <c r="A107" s="538" t="s">
        <v>1576</v>
      </c>
      <c r="B107" s="452" t="s">
        <v>100</v>
      </c>
      <c r="C107" s="453">
        <v>42489</v>
      </c>
      <c r="D107" s="454">
        <v>42549</v>
      </c>
      <c r="E107" s="455">
        <v>59</v>
      </c>
      <c r="F107" s="454">
        <v>42542</v>
      </c>
      <c r="G107" s="455">
        <v>9</v>
      </c>
      <c r="H107" s="456">
        <f>14787+2200-430</f>
        <v>16557</v>
      </c>
      <c r="I107" s="456">
        <v>2800</v>
      </c>
      <c r="J107" s="456">
        <v>5915</v>
      </c>
      <c r="K107" s="452">
        <v>1</v>
      </c>
      <c r="L107" s="452">
        <v>1</v>
      </c>
      <c r="M107" s="452">
        <v>1</v>
      </c>
      <c r="N107" s="452">
        <v>1</v>
      </c>
      <c r="O107" s="452">
        <v>1</v>
      </c>
      <c r="P107" s="452"/>
      <c r="Q107" s="452">
        <v>1</v>
      </c>
      <c r="R107" s="452">
        <v>1</v>
      </c>
      <c r="S107" s="452">
        <v>1</v>
      </c>
      <c r="T107" s="452"/>
      <c r="U107" s="452"/>
      <c r="V107" s="452"/>
      <c r="W107" s="452"/>
      <c r="X107" s="452"/>
      <c r="Y107" s="452"/>
      <c r="Z107" s="535">
        <f t="shared" si="12"/>
        <v>8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Y108" si="13">SUM(G100:G107)</f>
        <v>20</v>
      </c>
      <c r="H108" s="448">
        <f>SUM(H100:H107)</f>
        <v>34853</v>
      </c>
      <c r="I108" s="448">
        <f t="shared" si="13"/>
        <v>5600</v>
      </c>
      <c r="J108" s="448">
        <f>SUM(J100:J107)</f>
        <v>11734.2</v>
      </c>
      <c r="K108" s="447">
        <f t="shared" si="13"/>
        <v>3</v>
      </c>
      <c r="L108" s="447">
        <f t="shared" si="13"/>
        <v>1</v>
      </c>
      <c r="M108" s="447">
        <f t="shared" si="13"/>
        <v>1</v>
      </c>
      <c r="N108" s="447">
        <f t="shared" si="13"/>
        <v>3</v>
      </c>
      <c r="O108" s="447">
        <f t="shared" si="13"/>
        <v>2</v>
      </c>
      <c r="P108" s="447">
        <f t="shared" si="13"/>
        <v>2</v>
      </c>
      <c r="Q108" s="447">
        <f t="shared" si="13"/>
        <v>2</v>
      </c>
      <c r="R108" s="447">
        <f t="shared" si="13"/>
        <v>3</v>
      </c>
      <c r="S108" s="447">
        <f t="shared" si="13"/>
        <v>1</v>
      </c>
      <c r="T108" s="447">
        <f t="shared" si="13"/>
        <v>0</v>
      </c>
      <c r="U108" s="447">
        <f t="shared" si="13"/>
        <v>0</v>
      </c>
      <c r="V108" s="447">
        <f t="shared" si="13"/>
        <v>0</v>
      </c>
      <c r="W108" s="447">
        <f t="shared" si="13"/>
        <v>0</v>
      </c>
      <c r="X108" s="447">
        <f t="shared" si="13"/>
        <v>1</v>
      </c>
      <c r="Y108" s="447">
        <f t="shared" si="13"/>
        <v>0</v>
      </c>
      <c r="Z108" s="447">
        <f>SUM(Z100:Z107)</f>
        <v>19</v>
      </c>
    </row>
    <row r="110" spans="1:26" x14ac:dyDescent="0.25">
      <c r="A110" s="739" t="s">
        <v>1229</v>
      </c>
      <c r="B110" s="739"/>
    </row>
    <row r="111" spans="1:26" ht="30" x14ac:dyDescent="0.25">
      <c r="A111" s="546" t="s">
        <v>1</v>
      </c>
      <c r="B111" s="546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489" t="s">
        <v>1586</v>
      </c>
      <c r="B112" s="452" t="s">
        <v>115</v>
      </c>
      <c r="C112" s="453">
        <v>42541</v>
      </c>
      <c r="D112" s="454">
        <v>42550</v>
      </c>
      <c r="E112" s="455">
        <v>9</v>
      </c>
      <c r="F112" s="454">
        <v>42461</v>
      </c>
      <c r="G112" s="455">
        <v>-1</v>
      </c>
      <c r="H112" s="456">
        <v>-1643</v>
      </c>
      <c r="I112" s="456">
        <v>0</v>
      </c>
      <c r="J112" s="456">
        <v>-657</v>
      </c>
      <c r="K112" s="452"/>
      <c r="L112" s="452"/>
      <c r="M112" s="452"/>
      <c r="N112" s="452"/>
      <c r="O112" s="452"/>
      <c r="P112" s="452"/>
      <c r="Q112" s="452"/>
      <c r="R112" s="452"/>
      <c r="S112" s="452"/>
      <c r="T112" s="452">
        <v>-1</v>
      </c>
      <c r="U112" s="452"/>
      <c r="V112" s="452"/>
      <c r="W112" s="452"/>
      <c r="X112" s="452"/>
      <c r="Y112" s="452"/>
      <c r="Z112" s="535">
        <f t="shared" ref="Z112:Z114" si="14">SUM(K112:Y112)</f>
        <v>-1</v>
      </c>
    </row>
    <row r="113" spans="1:26" s="457" customFormat="1" ht="15" customHeight="1" x14ac:dyDescent="0.25">
      <c r="A113" s="538"/>
      <c r="B113" s="452"/>
      <c r="C113" s="453"/>
      <c r="D113" s="454"/>
      <c r="E113" s="455"/>
      <c r="F113" s="454"/>
      <c r="G113" s="455"/>
      <c r="H113" s="456"/>
      <c r="I113" s="456"/>
      <c r="J113" s="456">
        <f>H113*0.4</f>
        <v>0</v>
      </c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535">
        <f t="shared" si="14"/>
        <v>0</v>
      </c>
    </row>
    <row r="114" spans="1:26" ht="15" customHeight="1" x14ac:dyDescent="0.25">
      <c r="A114" s="538"/>
      <c r="B114" s="535"/>
      <c r="C114" s="487"/>
      <c r="D114" s="488"/>
      <c r="E114" s="486"/>
      <c r="F114" s="488"/>
      <c r="G114" s="486"/>
      <c r="H114" s="539"/>
      <c r="I114" s="539"/>
      <c r="J114" s="539">
        <v>0</v>
      </c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4"/>
        <v>0</v>
      </c>
    </row>
    <row r="115" spans="1:26" ht="15" customHeight="1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-1</v>
      </c>
      <c r="H115" s="448">
        <f>SUM(H112:H114)</f>
        <v>-1643</v>
      </c>
      <c r="I115" s="448">
        <f t="shared" ref="I115:Z115" si="15">SUM(I112:I114)</f>
        <v>0</v>
      </c>
      <c r="J115" s="448">
        <f t="shared" si="15"/>
        <v>-657</v>
      </c>
      <c r="K115" s="447">
        <f t="shared" si="15"/>
        <v>0</v>
      </c>
      <c r="L115" s="447">
        <f t="shared" si="15"/>
        <v>0</v>
      </c>
      <c r="M115" s="447">
        <f t="shared" si="15"/>
        <v>0</v>
      </c>
      <c r="N115" s="447">
        <f t="shared" si="15"/>
        <v>0</v>
      </c>
      <c r="O115" s="447">
        <f t="shared" si="15"/>
        <v>0</v>
      </c>
      <c r="P115" s="447">
        <f t="shared" si="15"/>
        <v>0</v>
      </c>
      <c r="Q115" s="447">
        <f t="shared" si="15"/>
        <v>0</v>
      </c>
      <c r="R115" s="447">
        <f t="shared" si="15"/>
        <v>0</v>
      </c>
      <c r="S115" s="447">
        <f t="shared" si="15"/>
        <v>0</v>
      </c>
      <c r="T115" s="447">
        <f t="shared" si="15"/>
        <v>-1</v>
      </c>
      <c r="U115" s="447">
        <f t="shared" si="15"/>
        <v>0</v>
      </c>
      <c r="V115" s="447">
        <f t="shared" si="15"/>
        <v>0</v>
      </c>
      <c r="W115" s="447">
        <f t="shared" si="15"/>
        <v>0</v>
      </c>
      <c r="X115" s="447">
        <f t="shared" si="15"/>
        <v>0</v>
      </c>
      <c r="Y115" s="447">
        <f t="shared" si="15"/>
        <v>0</v>
      </c>
      <c r="Z115" s="447">
        <f t="shared" si="15"/>
        <v>-1</v>
      </c>
    </row>
    <row r="117" spans="1:26" x14ac:dyDescent="0.25">
      <c r="A117" s="739" t="s">
        <v>1231</v>
      </c>
      <c r="B117" s="739"/>
    </row>
    <row r="118" spans="1:26" ht="30" x14ac:dyDescent="0.25">
      <c r="A118" s="546" t="s">
        <v>1</v>
      </c>
      <c r="B118" s="546" t="s">
        <v>59</v>
      </c>
      <c r="C118" s="425"/>
      <c r="D118" s="425"/>
      <c r="E118" s="425"/>
      <c r="F118" s="426"/>
      <c r="G118" s="432" t="s">
        <v>1225</v>
      </c>
      <c r="H118" s="427" t="s">
        <v>1224</v>
      </c>
      <c r="I118" s="427" t="s">
        <v>1498</v>
      </c>
      <c r="J118" s="427" t="s">
        <v>94</v>
      </c>
      <c r="K118" s="424" t="s">
        <v>681</v>
      </c>
      <c r="L118" s="424" t="s">
        <v>1496</v>
      </c>
      <c r="M118" s="424" t="s">
        <v>1497</v>
      </c>
      <c r="N118" s="424" t="s">
        <v>682</v>
      </c>
      <c r="O118" s="424" t="s">
        <v>683</v>
      </c>
      <c r="P118" s="424" t="s">
        <v>87</v>
      </c>
      <c r="Q118" s="424" t="s">
        <v>684</v>
      </c>
      <c r="R118" s="424" t="s">
        <v>685</v>
      </c>
      <c r="S118" s="424" t="s">
        <v>690</v>
      </c>
      <c r="T118" s="424" t="s">
        <v>686</v>
      </c>
      <c r="U118" s="424" t="s">
        <v>687</v>
      </c>
      <c r="V118" s="424" t="s">
        <v>688</v>
      </c>
      <c r="W118" s="424" t="s">
        <v>689</v>
      </c>
      <c r="X118" s="424" t="s">
        <v>138</v>
      </c>
      <c r="Y118" s="424" t="s">
        <v>1385</v>
      </c>
      <c r="Z118" s="424" t="s">
        <v>1238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ref="Z119:Z121" si="16">SUM(K119:Y119)</f>
        <v>0</v>
      </c>
    </row>
    <row r="120" spans="1:26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6"/>
        <v>0</v>
      </c>
    </row>
    <row r="121" spans="1:26" ht="15" customHeight="1" x14ac:dyDescent="0.25">
      <c r="A121" s="538"/>
      <c r="B121" s="535"/>
      <c r="C121" s="487"/>
      <c r="D121" s="488"/>
      <c r="E121" s="486"/>
      <c r="F121" s="488"/>
      <c r="G121" s="486"/>
      <c r="H121" s="539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6"/>
        <v>0</v>
      </c>
    </row>
    <row r="122" spans="1:26" ht="15" customHeight="1" x14ac:dyDescent="0.25">
      <c r="A122" s="443" t="s">
        <v>1230</v>
      </c>
      <c r="B122" s="444"/>
      <c r="C122" s="445"/>
      <c r="D122" s="446"/>
      <c r="E122" s="447"/>
      <c r="F122" s="446"/>
      <c r="G122" s="447">
        <f>SUM(G119:G121)</f>
        <v>0</v>
      </c>
      <c r="H122" s="448">
        <f>SUM(H119:H121)</f>
        <v>0</v>
      </c>
      <c r="I122" s="448">
        <f t="shared" ref="I122:Z122" si="17">SUM(I119:I121)</f>
        <v>0</v>
      </c>
      <c r="J122" s="448">
        <f t="shared" si="17"/>
        <v>0</v>
      </c>
      <c r="K122" s="447">
        <f t="shared" si="17"/>
        <v>0</v>
      </c>
      <c r="L122" s="447">
        <f t="shared" si="17"/>
        <v>0</v>
      </c>
      <c r="M122" s="447">
        <f t="shared" si="17"/>
        <v>0</v>
      </c>
      <c r="N122" s="447">
        <f t="shared" si="17"/>
        <v>0</v>
      </c>
      <c r="O122" s="447">
        <f t="shared" si="17"/>
        <v>0</v>
      </c>
      <c r="P122" s="447">
        <f t="shared" si="17"/>
        <v>0</v>
      </c>
      <c r="Q122" s="447">
        <f t="shared" si="17"/>
        <v>0</v>
      </c>
      <c r="R122" s="447">
        <f t="shared" si="17"/>
        <v>0</v>
      </c>
      <c r="S122" s="447">
        <f t="shared" si="17"/>
        <v>0</v>
      </c>
      <c r="T122" s="447">
        <f t="shared" si="17"/>
        <v>0</v>
      </c>
      <c r="U122" s="447">
        <f t="shared" si="17"/>
        <v>0</v>
      </c>
      <c r="V122" s="447">
        <f t="shared" si="17"/>
        <v>0</v>
      </c>
      <c r="W122" s="447">
        <f t="shared" si="17"/>
        <v>0</v>
      </c>
      <c r="X122" s="447">
        <f t="shared" si="17"/>
        <v>0</v>
      </c>
      <c r="Y122" s="447">
        <f t="shared" si="17"/>
        <v>0</v>
      </c>
      <c r="Z122" s="447">
        <f t="shared" si="17"/>
        <v>0</v>
      </c>
    </row>
    <row r="123" spans="1:26" ht="15.75" thickBot="1" x14ac:dyDescent="0.3"/>
    <row r="124" spans="1:26" ht="15.75" thickBot="1" x14ac:dyDescent="0.3">
      <c r="A124" s="436" t="s">
        <v>1232</v>
      </c>
      <c r="B124" s="434"/>
      <c r="C124" s="434"/>
      <c r="D124" s="434"/>
      <c r="E124" s="434"/>
      <c r="F124" s="434"/>
      <c r="G124" s="437">
        <f t="shared" ref="G124:J124" si="18">G84+G96+G108+G115+G122</f>
        <v>52</v>
      </c>
      <c r="H124" s="438">
        <f>H84+H96+H108+H115+H122</f>
        <v>75568.700000000012</v>
      </c>
      <c r="I124" s="438">
        <f t="shared" si="18"/>
        <v>30900</v>
      </c>
      <c r="J124" s="438">
        <f t="shared" si="18"/>
        <v>120742.7</v>
      </c>
      <c r="K124" s="450">
        <f>K84+K96+K108+K115+K122</f>
        <v>8</v>
      </c>
      <c r="L124" s="450">
        <f t="shared" ref="L124:Y124" si="19">L84+L96+L108+L115+L122</f>
        <v>6</v>
      </c>
      <c r="M124" s="450">
        <f t="shared" si="19"/>
        <v>2</v>
      </c>
      <c r="N124" s="450">
        <f t="shared" si="19"/>
        <v>6</v>
      </c>
      <c r="O124" s="450">
        <f t="shared" si="19"/>
        <v>4</v>
      </c>
      <c r="P124" s="450">
        <f t="shared" si="19"/>
        <v>5</v>
      </c>
      <c r="Q124" s="450">
        <f t="shared" si="19"/>
        <v>7</v>
      </c>
      <c r="R124" s="450">
        <f t="shared" si="19"/>
        <v>5</v>
      </c>
      <c r="S124" s="450">
        <f t="shared" si="19"/>
        <v>3</v>
      </c>
      <c r="T124" s="450">
        <f t="shared" si="19"/>
        <v>-1</v>
      </c>
      <c r="U124" s="450">
        <f t="shared" si="19"/>
        <v>2</v>
      </c>
      <c r="V124" s="450">
        <f t="shared" si="19"/>
        <v>0</v>
      </c>
      <c r="W124" s="450">
        <f t="shared" si="19"/>
        <v>1</v>
      </c>
      <c r="X124" s="450">
        <f t="shared" si="19"/>
        <v>1</v>
      </c>
      <c r="Y124" s="450">
        <f t="shared" si="19"/>
        <v>0</v>
      </c>
      <c r="Z124" s="450">
        <f>Z84+Z96+Z108+Z115+Z122</f>
        <v>49</v>
      </c>
    </row>
    <row r="125" spans="1:26" ht="15.75" thickBot="1" x14ac:dyDescent="0.3">
      <c r="A125" s="436" t="s">
        <v>64</v>
      </c>
      <c r="B125" s="434"/>
      <c r="C125" s="434"/>
      <c r="D125" s="434"/>
      <c r="E125" s="434"/>
      <c r="F125" s="434"/>
      <c r="G125" s="437"/>
      <c r="H125" s="438"/>
      <c r="I125" s="438"/>
      <c r="J125" s="438"/>
    </row>
    <row r="126" spans="1:26" ht="15.75" thickBot="1" x14ac:dyDescent="0.3">
      <c r="A126" s="439" t="s">
        <v>452</v>
      </c>
      <c r="B126" s="440"/>
      <c r="C126" s="440"/>
      <c r="D126" s="440"/>
      <c r="E126" s="440"/>
      <c r="F126" s="440"/>
      <c r="G126" s="441"/>
      <c r="H126" s="442">
        <f>H124-H125</f>
        <v>75568.700000000012</v>
      </c>
      <c r="I126" s="442"/>
      <c r="J126" s="442"/>
      <c r="K126" s="419" t="s">
        <v>1600</v>
      </c>
      <c r="M126" s="520">
        <f>K96+L96+M96+N96+O96+P96+Q96+R96+S96+T96+U96+V96+K108+L108+M108+N108+O108+P108+Q108+R108+S108+T108+U108+V108+V108</f>
        <v>48</v>
      </c>
      <c r="W126" s="419" t="s">
        <v>1602</v>
      </c>
      <c r="Y126" s="520">
        <f>W124+X124</f>
        <v>2</v>
      </c>
    </row>
    <row r="127" spans="1:26" x14ac:dyDescent="0.25">
      <c r="K127" s="419" t="s">
        <v>1601</v>
      </c>
      <c r="M127" s="520">
        <f>T115</f>
        <v>-1</v>
      </c>
      <c r="W127" s="419" t="s">
        <v>1603</v>
      </c>
      <c r="Y127" s="419">
        <v>0</v>
      </c>
    </row>
    <row r="129" spans="8:10" x14ac:dyDescent="0.25">
      <c r="H129" s="435">
        <f>H84+H108+H115+H122</f>
        <v>24507.700000000004</v>
      </c>
      <c r="I129" s="435"/>
      <c r="J129" s="435"/>
    </row>
  </sheetData>
  <sortState ref="A100:Z107">
    <sortCondition ref="B100:B107"/>
  </sortState>
  <mergeCells count="8">
    <mergeCell ref="G3:H3"/>
    <mergeCell ref="A86:B86"/>
    <mergeCell ref="A98:B98"/>
    <mergeCell ref="A110:B110"/>
    <mergeCell ref="A117:B117"/>
    <mergeCell ref="A3:B3"/>
    <mergeCell ref="C3:D3"/>
    <mergeCell ref="E3:F3"/>
  </mergeCells>
  <pageMargins left="0.7" right="0.7" top="0.75" bottom="0.75" header="0.3" footer="0.3"/>
  <pageSetup scale="33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31"/>
  <sheetViews>
    <sheetView topLeftCell="A84" zoomScale="80" zoomScaleNormal="8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58" t="s">
        <v>1</v>
      </c>
      <c r="B4" s="55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192</v>
      </c>
      <c r="B5" s="531" t="s">
        <v>100</v>
      </c>
      <c r="C5" s="531">
        <v>6</v>
      </c>
      <c r="D5" s="542">
        <v>8971</v>
      </c>
      <c r="E5" s="531">
        <v>7</v>
      </c>
      <c r="F5" s="542">
        <v>9903</v>
      </c>
      <c r="G5" s="535">
        <f t="shared" ref="G5:G36" si="0">E5-C5</f>
        <v>1</v>
      </c>
      <c r="H5" s="542">
        <f t="shared" ref="H5:H36" si="1">F5-D5</f>
        <v>932</v>
      </c>
      <c r="I5" s="542">
        <v>0</v>
      </c>
      <c r="J5" s="542">
        <v>3961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36" si="2">SUM(K5:Y5)</f>
        <v>0</v>
      </c>
    </row>
    <row r="6" spans="1:26" ht="14.45" customHeight="1" x14ac:dyDescent="0.25">
      <c r="A6" s="531" t="s">
        <v>193</v>
      </c>
      <c r="B6" s="531" t="s">
        <v>100</v>
      </c>
      <c r="C6" s="531">
        <v>7</v>
      </c>
      <c r="D6" s="542">
        <v>8068</v>
      </c>
      <c r="E6" s="531">
        <v>8</v>
      </c>
      <c r="F6" s="542">
        <v>8809</v>
      </c>
      <c r="G6" s="535">
        <f t="shared" si="0"/>
        <v>1</v>
      </c>
      <c r="H6" s="542">
        <f t="shared" si="1"/>
        <v>741</v>
      </c>
      <c r="I6" s="542">
        <v>0</v>
      </c>
      <c r="J6" s="542">
        <v>3524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0" t="s">
        <v>1375</v>
      </c>
      <c r="B7" s="530" t="s">
        <v>115</v>
      </c>
      <c r="C7" s="530">
        <v>9</v>
      </c>
      <c r="D7" s="542">
        <v>16600</v>
      </c>
      <c r="E7" s="531">
        <v>9</v>
      </c>
      <c r="F7" s="542">
        <v>17320</v>
      </c>
      <c r="G7" s="535">
        <f t="shared" si="0"/>
        <v>0</v>
      </c>
      <c r="H7" s="542">
        <f t="shared" si="1"/>
        <v>720</v>
      </c>
      <c r="I7" s="542">
        <v>0</v>
      </c>
      <c r="J7" s="542">
        <v>4000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1" t="s">
        <v>369</v>
      </c>
      <c r="B8" s="531" t="s">
        <v>115</v>
      </c>
      <c r="C8" s="531">
        <v>2</v>
      </c>
      <c r="D8" s="542">
        <v>2810</v>
      </c>
      <c r="E8" s="531">
        <v>2</v>
      </c>
      <c r="F8" s="542">
        <v>2337</v>
      </c>
      <c r="G8" s="535">
        <f t="shared" si="0"/>
        <v>0</v>
      </c>
      <c r="H8" s="542">
        <f t="shared" si="1"/>
        <v>-473</v>
      </c>
      <c r="I8" s="542">
        <v>0</v>
      </c>
      <c r="J8" s="542">
        <v>935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6" t="s">
        <v>322</v>
      </c>
      <c r="B9" s="530" t="s">
        <v>115</v>
      </c>
      <c r="C9" s="531">
        <v>2</v>
      </c>
      <c r="D9" s="542">
        <v>3190</v>
      </c>
      <c r="E9" s="535">
        <v>2</v>
      </c>
      <c r="F9" s="542">
        <v>3286</v>
      </c>
      <c r="G9" s="535">
        <f t="shared" si="0"/>
        <v>0</v>
      </c>
      <c r="H9" s="542">
        <f t="shared" si="1"/>
        <v>96</v>
      </c>
      <c r="I9" s="542">
        <v>0</v>
      </c>
      <c r="J9" s="542">
        <v>1314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3" t="s">
        <v>358</v>
      </c>
      <c r="B10" s="531" t="s">
        <v>100</v>
      </c>
      <c r="C10" s="531">
        <v>7</v>
      </c>
      <c r="D10" s="542">
        <v>12916</v>
      </c>
      <c r="E10" s="535">
        <v>7</v>
      </c>
      <c r="F10" s="542">
        <v>13830</v>
      </c>
      <c r="G10" s="535">
        <f t="shared" si="0"/>
        <v>0</v>
      </c>
      <c r="H10" s="542">
        <f t="shared" si="1"/>
        <v>914</v>
      </c>
      <c r="I10" s="542">
        <v>0</v>
      </c>
      <c r="J10" s="542">
        <v>4000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3" t="s">
        <v>352</v>
      </c>
      <c r="B11" s="530" t="s">
        <v>115</v>
      </c>
      <c r="C11" s="531">
        <v>3</v>
      </c>
      <c r="D11" s="542">
        <v>5295</v>
      </c>
      <c r="E11" s="531">
        <v>3</v>
      </c>
      <c r="F11" s="542">
        <v>6010</v>
      </c>
      <c r="G11" s="535">
        <f t="shared" si="0"/>
        <v>0</v>
      </c>
      <c r="H11" s="542">
        <f t="shared" si="1"/>
        <v>715</v>
      </c>
      <c r="I11" s="542">
        <v>0</v>
      </c>
      <c r="J11" s="542">
        <v>2404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0" t="s">
        <v>272</v>
      </c>
      <c r="B12" s="530" t="s">
        <v>115</v>
      </c>
      <c r="C12" s="531">
        <v>3</v>
      </c>
      <c r="D12" s="542">
        <v>5295</v>
      </c>
      <c r="E12" s="535">
        <v>3</v>
      </c>
      <c r="F12" s="542">
        <v>6567</v>
      </c>
      <c r="G12" s="535">
        <f t="shared" si="0"/>
        <v>0</v>
      </c>
      <c r="H12" s="542">
        <f t="shared" si="1"/>
        <v>1272</v>
      </c>
      <c r="I12" s="542">
        <v>0</v>
      </c>
      <c r="J12" s="542">
        <v>2627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0" t="s">
        <v>199</v>
      </c>
      <c r="B13" s="530" t="s">
        <v>100</v>
      </c>
      <c r="C13" s="531">
        <v>6</v>
      </c>
      <c r="D13" s="542">
        <v>5881</v>
      </c>
      <c r="E13" s="535">
        <v>6</v>
      </c>
      <c r="F13" s="542">
        <v>6590</v>
      </c>
      <c r="G13" s="535">
        <f t="shared" si="0"/>
        <v>0</v>
      </c>
      <c r="H13" s="542">
        <f t="shared" si="1"/>
        <v>709</v>
      </c>
      <c r="I13" s="542">
        <v>0</v>
      </c>
      <c r="J13" s="542">
        <v>2636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0" t="s">
        <v>200</v>
      </c>
      <c r="B14" s="530" t="s">
        <v>100</v>
      </c>
      <c r="C14" s="531">
        <v>7</v>
      </c>
      <c r="D14" s="542">
        <v>12595</v>
      </c>
      <c r="E14" s="535">
        <v>7</v>
      </c>
      <c r="F14" s="542">
        <v>13975</v>
      </c>
      <c r="G14" s="535">
        <f t="shared" si="0"/>
        <v>0</v>
      </c>
      <c r="H14" s="542">
        <f t="shared" si="1"/>
        <v>1380</v>
      </c>
      <c r="I14" s="542">
        <v>0</v>
      </c>
      <c r="J14" s="542">
        <v>4000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0" t="s">
        <v>201</v>
      </c>
      <c r="B15" s="530" t="s">
        <v>100</v>
      </c>
      <c r="C15" s="531">
        <v>5</v>
      </c>
      <c r="D15" s="542">
        <v>2625</v>
      </c>
      <c r="E15" s="535">
        <v>5</v>
      </c>
      <c r="F15" s="542">
        <v>3235</v>
      </c>
      <c r="G15" s="535">
        <f t="shared" si="0"/>
        <v>0</v>
      </c>
      <c r="H15" s="542">
        <f t="shared" si="1"/>
        <v>610</v>
      </c>
      <c r="I15" s="542">
        <v>0</v>
      </c>
      <c r="J15" s="542">
        <v>1294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0" t="s">
        <v>301</v>
      </c>
      <c r="B16" s="530" t="s">
        <v>100</v>
      </c>
      <c r="C16" s="531">
        <v>8</v>
      </c>
      <c r="D16" s="542">
        <v>10891</v>
      </c>
      <c r="E16" s="535">
        <v>8</v>
      </c>
      <c r="F16" s="542">
        <v>10616</v>
      </c>
      <c r="G16" s="535">
        <f t="shared" si="0"/>
        <v>0</v>
      </c>
      <c r="H16" s="542">
        <f t="shared" si="1"/>
        <v>-275</v>
      </c>
      <c r="I16" s="542">
        <v>0</v>
      </c>
      <c r="J16" s="542">
        <v>4000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0" t="s">
        <v>360</v>
      </c>
      <c r="B17" s="530" t="s">
        <v>100</v>
      </c>
      <c r="C17" s="531">
        <v>3</v>
      </c>
      <c r="D17" s="542">
        <v>5400</v>
      </c>
      <c r="E17" s="535">
        <v>3</v>
      </c>
      <c r="F17" s="542">
        <v>5563</v>
      </c>
      <c r="G17" s="535">
        <f t="shared" si="0"/>
        <v>0</v>
      </c>
      <c r="H17" s="542">
        <f t="shared" si="1"/>
        <v>163</v>
      </c>
      <c r="I17" s="542">
        <v>0</v>
      </c>
      <c r="J17" s="542">
        <v>2225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0" t="s">
        <v>311</v>
      </c>
      <c r="B18" s="530" t="s">
        <v>115</v>
      </c>
      <c r="C18" s="531">
        <v>7</v>
      </c>
      <c r="D18" s="542">
        <v>9616</v>
      </c>
      <c r="E18" s="535">
        <v>7</v>
      </c>
      <c r="F18" s="542">
        <v>8343</v>
      </c>
      <c r="G18" s="535">
        <f t="shared" si="0"/>
        <v>0</v>
      </c>
      <c r="H18" s="542">
        <f t="shared" si="1"/>
        <v>-1273</v>
      </c>
      <c r="I18" s="542">
        <v>0</v>
      </c>
      <c r="J18" s="542">
        <v>3337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0" t="s">
        <v>184</v>
      </c>
      <c r="B19" s="530" t="s">
        <v>115</v>
      </c>
      <c r="C19" s="531">
        <v>0</v>
      </c>
      <c r="D19" s="542">
        <v>0</v>
      </c>
      <c r="E19" s="535">
        <v>0</v>
      </c>
      <c r="F19" s="542">
        <v>0</v>
      </c>
      <c r="G19" s="535">
        <f t="shared" si="0"/>
        <v>0</v>
      </c>
      <c r="H19" s="542">
        <f t="shared" si="1"/>
        <v>0</v>
      </c>
      <c r="I19" s="542">
        <v>0</v>
      </c>
      <c r="J19" s="542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2"/>
        <v>0</v>
      </c>
    </row>
    <row r="20" spans="1:26" ht="14.45" customHeight="1" x14ac:dyDescent="0.25">
      <c r="A20" s="530" t="s">
        <v>180</v>
      </c>
      <c r="B20" s="530" t="s">
        <v>115</v>
      </c>
      <c r="C20" s="531">
        <v>2</v>
      </c>
      <c r="D20" s="542">
        <v>3190</v>
      </c>
      <c r="E20" s="535">
        <v>3</v>
      </c>
      <c r="F20" s="542">
        <v>3286</v>
      </c>
      <c r="G20" s="535">
        <f t="shared" si="0"/>
        <v>1</v>
      </c>
      <c r="H20" s="542">
        <f t="shared" si="1"/>
        <v>96</v>
      </c>
      <c r="I20" s="542">
        <v>0</v>
      </c>
      <c r="J20" s="542">
        <v>1314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0" t="s">
        <v>1475</v>
      </c>
      <c r="B21" s="530" t="s">
        <v>115</v>
      </c>
      <c r="C21" s="530">
        <v>3</v>
      </c>
      <c r="D21" s="542">
        <v>4785</v>
      </c>
      <c r="E21" s="535">
        <v>3</v>
      </c>
      <c r="F21" s="542">
        <v>4929</v>
      </c>
      <c r="G21" s="535">
        <f t="shared" si="0"/>
        <v>0</v>
      </c>
      <c r="H21" s="542">
        <f t="shared" si="1"/>
        <v>144</v>
      </c>
      <c r="I21" s="542">
        <v>0</v>
      </c>
      <c r="J21" s="542">
        <v>1972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0" t="s">
        <v>376</v>
      </c>
      <c r="B22" s="530" t="s">
        <v>115</v>
      </c>
      <c r="C22" s="531">
        <v>4</v>
      </c>
      <c r="D22" s="542">
        <v>6380</v>
      </c>
      <c r="E22" s="535">
        <v>5</v>
      </c>
      <c r="F22" s="542">
        <v>6572</v>
      </c>
      <c r="G22" s="535">
        <f t="shared" si="0"/>
        <v>1</v>
      </c>
      <c r="H22" s="542">
        <f t="shared" si="1"/>
        <v>192</v>
      </c>
      <c r="I22" s="542">
        <v>0</v>
      </c>
      <c r="J22" s="542">
        <v>2629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0" t="s">
        <v>226</v>
      </c>
      <c r="B23" s="530" t="s">
        <v>100</v>
      </c>
      <c r="C23" s="531">
        <v>2</v>
      </c>
      <c r="D23" s="542">
        <v>1680</v>
      </c>
      <c r="E23" s="535">
        <v>2</v>
      </c>
      <c r="F23" s="542">
        <v>1730</v>
      </c>
      <c r="G23" s="535">
        <f t="shared" si="0"/>
        <v>0</v>
      </c>
      <c r="H23" s="542">
        <f t="shared" si="1"/>
        <v>50</v>
      </c>
      <c r="I23" s="542">
        <v>0</v>
      </c>
      <c r="J23" s="542">
        <v>692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1"/>
      <c r="B24" s="531"/>
      <c r="C24" s="530"/>
      <c r="D24" s="542"/>
      <c r="E24" s="535"/>
      <c r="F24" s="542"/>
      <c r="G24" s="535">
        <f t="shared" si="0"/>
        <v>0</v>
      </c>
      <c r="H24" s="542">
        <f t="shared" si="1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4"/>
      <c r="B25" s="530"/>
      <c r="C25" s="531"/>
      <c r="D25" s="542"/>
      <c r="E25" s="535"/>
      <c r="F25" s="542"/>
      <c r="G25" s="535">
        <f t="shared" si="0"/>
        <v>0</v>
      </c>
      <c r="H25" s="542">
        <f t="shared" si="1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1"/>
      <c r="B26" s="531"/>
      <c r="C26" s="531"/>
      <c r="D26" s="542"/>
      <c r="E26" s="535"/>
      <c r="F26" s="542"/>
      <c r="G26" s="535">
        <f t="shared" si="0"/>
        <v>0</v>
      </c>
      <c r="H26" s="542">
        <f t="shared" si="1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7"/>
      <c r="B27" s="530"/>
      <c r="C27" s="531"/>
      <c r="D27" s="542"/>
      <c r="E27" s="535"/>
      <c r="F27" s="542"/>
      <c r="G27" s="535">
        <f t="shared" si="0"/>
        <v>0</v>
      </c>
      <c r="H27" s="542">
        <f t="shared" si="1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0"/>
      <c r="B28" s="530"/>
      <c r="C28" s="531"/>
      <c r="D28" s="542"/>
      <c r="E28" s="535"/>
      <c r="F28" s="542"/>
      <c r="G28" s="535">
        <f t="shared" si="0"/>
        <v>0</v>
      </c>
      <c r="H28" s="542">
        <f t="shared" si="1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1"/>
      <c r="B29" s="531"/>
      <c r="C29" s="531"/>
      <c r="D29" s="542"/>
      <c r="E29" s="535"/>
      <c r="F29" s="542"/>
      <c r="G29" s="535">
        <f t="shared" si="0"/>
        <v>0</v>
      </c>
      <c r="H29" s="542">
        <f t="shared" si="1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A30" s="530"/>
      <c r="B30" s="530"/>
      <c r="C30" s="531"/>
      <c r="D30" s="542"/>
      <c r="E30" s="535"/>
      <c r="F30" s="542"/>
      <c r="G30" s="535">
        <f t="shared" si="0"/>
        <v>0</v>
      </c>
      <c r="H30" s="542">
        <f t="shared" si="1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customHeight="1" x14ac:dyDescent="0.25">
      <c r="A31" s="530"/>
      <c r="B31" s="530"/>
      <c r="C31" s="531"/>
      <c r="D31" s="542"/>
      <c r="E31" s="535"/>
      <c r="F31" s="542"/>
      <c r="G31" s="535">
        <f t="shared" si="0"/>
        <v>0</v>
      </c>
      <c r="H31" s="542">
        <f t="shared" si="1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customHeight="1" x14ac:dyDescent="0.25">
      <c r="A32" s="530"/>
      <c r="B32" s="530"/>
      <c r="C32" s="531"/>
      <c r="D32" s="542"/>
      <c r="E32" s="535"/>
      <c r="F32" s="542"/>
      <c r="G32" s="535">
        <f t="shared" si="0"/>
        <v>0</v>
      </c>
      <c r="H32" s="542">
        <f t="shared" si="1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customHeight="1" x14ac:dyDescent="0.25">
      <c r="A33" s="533"/>
      <c r="B33" s="531"/>
      <c r="C33" s="531"/>
      <c r="D33" s="542"/>
      <c r="E33" s="535"/>
      <c r="F33" s="542"/>
      <c r="G33" s="535">
        <f t="shared" si="0"/>
        <v>0</v>
      </c>
      <c r="H33" s="542">
        <f t="shared" si="1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customHeight="1" x14ac:dyDescent="0.25">
      <c r="B34" s="535"/>
      <c r="C34" s="531"/>
      <c r="D34" s="542"/>
      <c r="E34" s="535"/>
      <c r="F34" s="542"/>
      <c r="G34" s="535">
        <f t="shared" si="0"/>
        <v>0</v>
      </c>
      <c r="H34" s="542">
        <f t="shared" si="1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customHeight="1" x14ac:dyDescent="0.25">
      <c r="A35" s="531"/>
      <c r="B35" s="535"/>
      <c r="C35" s="531"/>
      <c r="D35" s="542"/>
      <c r="E35" s="535"/>
      <c r="F35" s="542"/>
      <c r="G35" s="535">
        <f t="shared" si="0"/>
        <v>0</v>
      </c>
      <c r="H35" s="542">
        <f t="shared" si="1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customHeight="1" x14ac:dyDescent="0.25">
      <c r="A36" s="531"/>
      <c r="B36" s="535"/>
      <c r="C36" s="531"/>
      <c r="D36" s="542"/>
      <c r="E36" s="535"/>
      <c r="F36" s="542"/>
      <c r="G36" s="535">
        <f t="shared" si="0"/>
        <v>0</v>
      </c>
      <c r="H36" s="542">
        <f t="shared" si="1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4.45" customHeight="1" x14ac:dyDescent="0.25">
      <c r="A37" s="531"/>
      <c r="B37" s="535"/>
      <c r="C37" s="531"/>
      <c r="D37" s="542"/>
      <c r="E37" s="535"/>
      <c r="F37" s="542"/>
      <c r="G37" s="535">
        <f t="shared" ref="G37:G68" si="3">E37-C37</f>
        <v>0</v>
      </c>
      <c r="H37" s="542">
        <f t="shared" ref="H37:H68" si="4">F37-D37</f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ref="Z37:Z68" si="5">SUM(K37:Y37)</f>
        <v>0</v>
      </c>
    </row>
    <row r="38" spans="1:26" ht="14.45" hidden="1" customHeight="1" x14ac:dyDescent="0.25">
      <c r="A38" s="530"/>
      <c r="B38" s="535"/>
      <c r="C38" s="531"/>
      <c r="D38" s="542"/>
      <c r="E38" s="535"/>
      <c r="F38" s="542"/>
      <c r="G38" s="535">
        <f t="shared" si="3"/>
        <v>0</v>
      </c>
      <c r="H38" s="542">
        <f t="shared" si="4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5"/>
        <v>0</v>
      </c>
    </row>
    <row r="39" spans="1:26" ht="14.45" hidden="1" customHeight="1" x14ac:dyDescent="0.25">
      <c r="A39" s="530"/>
      <c r="B39" s="535"/>
      <c r="C39" s="531"/>
      <c r="D39" s="542"/>
      <c r="E39" s="535"/>
      <c r="F39" s="542"/>
      <c r="G39" s="535">
        <f t="shared" si="3"/>
        <v>0</v>
      </c>
      <c r="H39" s="542">
        <f t="shared" si="4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5"/>
        <v>0</v>
      </c>
    </row>
    <row r="40" spans="1:26" ht="14.45" hidden="1" customHeight="1" x14ac:dyDescent="0.25">
      <c r="A40" s="530"/>
      <c r="B40" s="535"/>
      <c r="C40" s="531"/>
      <c r="D40" s="542"/>
      <c r="E40" s="535"/>
      <c r="F40" s="542"/>
      <c r="G40" s="535">
        <f t="shared" si="3"/>
        <v>0</v>
      </c>
      <c r="H40" s="542">
        <f t="shared" si="4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5"/>
        <v>0</v>
      </c>
    </row>
    <row r="41" spans="1:26" ht="14.45" hidden="1" customHeight="1" x14ac:dyDescent="0.25">
      <c r="A41" s="530"/>
      <c r="B41" s="535"/>
      <c r="C41" s="531"/>
      <c r="D41" s="542"/>
      <c r="E41" s="535"/>
      <c r="F41" s="542"/>
      <c r="G41" s="535">
        <f t="shared" si="3"/>
        <v>0</v>
      </c>
      <c r="H41" s="542">
        <f t="shared" si="4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5"/>
        <v>0</v>
      </c>
    </row>
    <row r="42" spans="1:26" ht="14.45" hidden="1" customHeight="1" x14ac:dyDescent="0.25">
      <c r="A42" s="530"/>
      <c r="B42" s="535"/>
      <c r="C42" s="531"/>
      <c r="D42" s="542"/>
      <c r="E42" s="535"/>
      <c r="F42" s="542"/>
      <c r="G42" s="535">
        <f t="shared" si="3"/>
        <v>0</v>
      </c>
      <c r="H42" s="542">
        <f t="shared" si="4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5"/>
        <v>0</v>
      </c>
    </row>
    <row r="43" spans="1:26" ht="15" hidden="1" customHeight="1" x14ac:dyDescent="0.25">
      <c r="A43" s="530"/>
      <c r="B43" s="535"/>
      <c r="C43" s="531"/>
      <c r="D43" s="542"/>
      <c r="E43" s="535"/>
      <c r="F43" s="542"/>
      <c r="G43" s="535">
        <f t="shared" si="3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5"/>
        <v>0</v>
      </c>
    </row>
    <row r="44" spans="1:26" ht="15" hidden="1" customHeight="1" x14ac:dyDescent="0.25">
      <c r="A44" s="530"/>
      <c r="B44" s="535"/>
      <c r="C44" s="531"/>
      <c r="D44" s="542"/>
      <c r="E44" s="535"/>
      <c r="F44" s="542"/>
      <c r="G44" s="535">
        <f t="shared" si="3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5"/>
        <v>0</v>
      </c>
    </row>
    <row r="45" spans="1:26" ht="15" hidden="1" customHeight="1" x14ac:dyDescent="0.25">
      <c r="A45" s="530"/>
      <c r="B45" s="535"/>
      <c r="C45" s="531"/>
      <c r="D45" s="542"/>
      <c r="E45" s="535"/>
      <c r="F45" s="542"/>
      <c r="G45" s="535">
        <f t="shared" si="3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5"/>
        <v>0</v>
      </c>
    </row>
    <row r="46" spans="1:26" ht="15" hidden="1" customHeight="1" x14ac:dyDescent="0.25">
      <c r="A46" s="530"/>
      <c r="B46" s="535"/>
      <c r="C46" s="531"/>
      <c r="D46" s="542"/>
      <c r="E46" s="535"/>
      <c r="F46" s="542"/>
      <c r="G46" s="535">
        <f t="shared" si="3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5"/>
        <v>0</v>
      </c>
    </row>
    <row r="47" spans="1:26" ht="15" hidden="1" customHeight="1" x14ac:dyDescent="0.25">
      <c r="A47" s="530"/>
      <c r="B47" s="535"/>
      <c r="C47" s="531"/>
      <c r="D47" s="542"/>
      <c r="E47" s="535"/>
      <c r="F47" s="542"/>
      <c r="G47" s="535">
        <f t="shared" si="3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5"/>
        <v>0</v>
      </c>
    </row>
    <row r="48" spans="1:26" ht="15" hidden="1" customHeight="1" x14ac:dyDescent="0.25">
      <c r="A48" s="537"/>
      <c r="B48" s="535"/>
      <c r="C48" s="531"/>
      <c r="D48" s="542"/>
      <c r="E48" s="535"/>
      <c r="F48" s="542"/>
      <c r="G48" s="535">
        <f t="shared" si="3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5"/>
        <v>0</v>
      </c>
    </row>
    <row r="49" spans="1:26" ht="15" hidden="1" customHeight="1" x14ac:dyDescent="0.25">
      <c r="A49" s="531"/>
      <c r="B49" s="535"/>
      <c r="C49" s="531"/>
      <c r="D49" s="542"/>
      <c r="E49" s="535"/>
      <c r="F49" s="542"/>
      <c r="G49" s="535">
        <f t="shared" si="3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5"/>
        <v>0</v>
      </c>
    </row>
    <row r="50" spans="1:26" ht="15" hidden="1" customHeight="1" x14ac:dyDescent="0.25">
      <c r="A50" s="530"/>
      <c r="B50" s="535"/>
      <c r="C50" s="530"/>
      <c r="D50" s="542"/>
      <c r="E50" s="535"/>
      <c r="F50" s="542"/>
      <c r="G50" s="535">
        <f t="shared" si="3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5"/>
        <v>0</v>
      </c>
    </row>
    <row r="51" spans="1:26" ht="15" hidden="1" customHeight="1" x14ac:dyDescent="0.25">
      <c r="A51" s="530"/>
      <c r="B51" s="535"/>
      <c r="C51" s="530"/>
      <c r="D51" s="542"/>
      <c r="E51" s="535"/>
      <c r="F51" s="542"/>
      <c r="G51" s="535">
        <f t="shared" si="3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5"/>
        <v>0</v>
      </c>
    </row>
    <row r="52" spans="1:26" ht="15" hidden="1" customHeight="1" x14ac:dyDescent="0.25">
      <c r="A52" s="530"/>
      <c r="B52" s="535"/>
      <c r="C52" s="530"/>
      <c r="D52" s="542"/>
      <c r="E52" s="535"/>
      <c r="F52" s="542"/>
      <c r="G52" s="535">
        <f t="shared" si="3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5"/>
        <v>0</v>
      </c>
    </row>
    <row r="53" spans="1:26" ht="15" hidden="1" customHeight="1" x14ac:dyDescent="0.25">
      <c r="A53" s="530"/>
      <c r="B53" s="535"/>
      <c r="C53" s="530"/>
      <c r="D53" s="542"/>
      <c r="E53" s="535"/>
      <c r="F53" s="542"/>
      <c r="G53" s="535">
        <f t="shared" si="3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5"/>
        <v>0</v>
      </c>
    </row>
    <row r="54" spans="1:26" ht="15" hidden="1" customHeight="1" x14ac:dyDescent="0.25">
      <c r="A54" s="530"/>
      <c r="B54" s="535"/>
      <c r="C54" s="530"/>
      <c r="D54" s="542"/>
      <c r="E54" s="535"/>
      <c r="F54" s="542"/>
      <c r="G54" s="535">
        <f t="shared" si="3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5"/>
        <v>0</v>
      </c>
    </row>
    <row r="55" spans="1:26" ht="15" hidden="1" customHeight="1" x14ac:dyDescent="0.25">
      <c r="A55" s="530"/>
      <c r="B55" s="535"/>
      <c r="C55" s="530"/>
      <c r="D55" s="542"/>
      <c r="E55" s="535"/>
      <c r="F55" s="542"/>
      <c r="G55" s="535">
        <f t="shared" si="3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5"/>
        <v>0</v>
      </c>
    </row>
    <row r="56" spans="1:26" ht="15" hidden="1" customHeight="1" x14ac:dyDescent="0.25">
      <c r="A56" s="530"/>
      <c r="B56" s="535"/>
      <c r="C56" s="530"/>
      <c r="D56" s="542"/>
      <c r="E56" s="535"/>
      <c r="F56" s="542"/>
      <c r="G56" s="535">
        <f t="shared" si="3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5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3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5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3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5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3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5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3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5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3"/>
        <v>0</v>
      </c>
      <c r="H61" s="542">
        <f t="shared" si="4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5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3"/>
        <v>0</v>
      </c>
      <c r="H62" s="542">
        <f t="shared" si="4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5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3"/>
        <v>0</v>
      </c>
      <c r="H63" s="542">
        <f t="shared" si="4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5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3"/>
        <v>0</v>
      </c>
      <c r="H64" s="542">
        <f t="shared" si="4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5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si="3"/>
        <v>0</v>
      </c>
      <c r="H65" s="542">
        <f t="shared" si="4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5"/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3"/>
        <v>0</v>
      </c>
      <c r="H66" s="542">
        <f t="shared" si="4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5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3"/>
        <v>0</v>
      </c>
      <c r="H67" s="542">
        <f t="shared" si="4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5"/>
        <v>0</v>
      </c>
    </row>
    <row r="68" spans="1:26" ht="15" hidden="1" customHeight="1" x14ac:dyDescent="0.25">
      <c r="A68" s="530"/>
      <c r="B68" s="535"/>
      <c r="C68" s="531"/>
      <c r="D68" s="542"/>
      <c r="E68" s="535"/>
      <c r="F68" s="542"/>
      <c r="G68" s="535">
        <f t="shared" si="3"/>
        <v>0</v>
      </c>
      <c r="H68" s="542">
        <f t="shared" si="4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5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ref="G69:G83" si="6">E69-C69</f>
        <v>0</v>
      </c>
      <c r="H69" s="542">
        <f t="shared" ref="H69:H83" si="7">F69-D69</f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8">SUM(K69:Y69)</f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6"/>
        <v>0</v>
      </c>
      <c r="H70" s="542">
        <f t="shared" si="7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8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6"/>
        <v>0</v>
      </c>
      <c r="H71" s="542">
        <f t="shared" si="7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8"/>
        <v>0</v>
      </c>
    </row>
    <row r="72" spans="1:26" ht="15" hidden="1" customHeight="1" x14ac:dyDescent="0.25">
      <c r="A72" s="534"/>
      <c r="B72" s="535"/>
      <c r="C72" s="531"/>
      <c r="D72" s="542"/>
      <c r="E72" s="535"/>
      <c r="F72" s="542"/>
      <c r="G72" s="535">
        <f t="shared" si="6"/>
        <v>0</v>
      </c>
      <c r="H72" s="542">
        <f t="shared" si="7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8"/>
        <v>0</v>
      </c>
    </row>
    <row r="73" spans="1:26" ht="15" hidden="1" customHeight="1" x14ac:dyDescent="0.25">
      <c r="A73" s="530"/>
      <c r="B73" s="535"/>
      <c r="C73" s="531"/>
      <c r="D73" s="542"/>
      <c r="E73" s="535"/>
      <c r="F73" s="542"/>
      <c r="G73" s="535">
        <f t="shared" si="6"/>
        <v>0</v>
      </c>
      <c r="H73" s="542">
        <f t="shared" si="7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8"/>
        <v>0</v>
      </c>
    </row>
    <row r="74" spans="1:26" ht="15" hidden="1" customHeight="1" x14ac:dyDescent="0.25">
      <c r="A74" s="534"/>
      <c r="B74" s="535"/>
      <c r="C74" s="531"/>
      <c r="D74" s="542"/>
      <c r="E74" s="535"/>
      <c r="F74" s="542"/>
      <c r="G74" s="535">
        <f t="shared" si="6"/>
        <v>0</v>
      </c>
      <c r="H74" s="542">
        <f t="shared" si="7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8"/>
        <v>0</v>
      </c>
    </row>
    <row r="75" spans="1:26" ht="15" hidden="1" customHeight="1" x14ac:dyDescent="0.25">
      <c r="A75" s="530"/>
      <c r="B75" s="535"/>
      <c r="C75" s="531"/>
      <c r="D75" s="542"/>
      <c r="E75" s="535"/>
      <c r="F75" s="542"/>
      <c r="G75" s="535">
        <f t="shared" si="6"/>
        <v>0</v>
      </c>
      <c r="H75" s="542">
        <f t="shared" si="7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8"/>
        <v>0</v>
      </c>
    </row>
    <row r="76" spans="1:26" ht="15" hidden="1" customHeight="1" x14ac:dyDescent="0.25">
      <c r="A76" s="533"/>
      <c r="B76" s="535"/>
      <c r="C76" s="531"/>
      <c r="D76" s="542"/>
      <c r="E76" s="535"/>
      <c r="F76" s="542"/>
      <c r="G76" s="535">
        <f t="shared" si="6"/>
        <v>0</v>
      </c>
      <c r="H76" s="542">
        <f t="shared" si="7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8"/>
        <v>0</v>
      </c>
    </row>
    <row r="77" spans="1:26" ht="15" hidden="1" customHeight="1" x14ac:dyDescent="0.25">
      <c r="A77" s="530"/>
      <c r="B77" s="535"/>
      <c r="C77" s="531"/>
      <c r="D77" s="542"/>
      <c r="E77" s="535"/>
      <c r="F77" s="542"/>
      <c r="G77" s="535">
        <f t="shared" si="6"/>
        <v>0</v>
      </c>
      <c r="H77" s="542">
        <f t="shared" si="7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8"/>
        <v>0</v>
      </c>
    </row>
    <row r="78" spans="1:26" ht="15" hidden="1" customHeight="1" x14ac:dyDescent="0.25">
      <c r="A78" s="530"/>
      <c r="B78" s="535"/>
      <c r="C78" s="531"/>
      <c r="D78" s="542"/>
      <c r="E78" s="535"/>
      <c r="F78" s="542"/>
      <c r="G78" s="535">
        <f t="shared" si="6"/>
        <v>0</v>
      </c>
      <c r="H78" s="542">
        <f t="shared" si="7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8"/>
        <v>0</v>
      </c>
    </row>
    <row r="79" spans="1:26" ht="15" hidden="1" customHeight="1" x14ac:dyDescent="0.25">
      <c r="A79" s="530"/>
      <c r="B79" s="535"/>
      <c r="C79" s="531"/>
      <c r="D79" s="542"/>
      <c r="E79" s="535"/>
      <c r="F79" s="542"/>
      <c r="G79" s="535">
        <f t="shared" si="6"/>
        <v>0</v>
      </c>
      <c r="H79" s="542">
        <f t="shared" si="7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8"/>
        <v>0</v>
      </c>
    </row>
    <row r="80" spans="1:26" ht="15" hidden="1" customHeight="1" x14ac:dyDescent="0.25">
      <c r="A80" s="538"/>
      <c r="B80" s="535"/>
      <c r="C80" s="535"/>
      <c r="D80" s="542"/>
      <c r="E80" s="535"/>
      <c r="F80" s="542"/>
      <c r="G80" s="535">
        <f t="shared" si="6"/>
        <v>0</v>
      </c>
      <c r="H80" s="542">
        <f t="shared" si="7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8"/>
        <v>0</v>
      </c>
    </row>
    <row r="81" spans="1:26" ht="15" hidden="1" customHeight="1" x14ac:dyDescent="0.25">
      <c r="A81" s="535"/>
      <c r="B81" s="535"/>
      <c r="C81" s="535"/>
      <c r="D81" s="542"/>
      <c r="E81" s="535"/>
      <c r="F81" s="542"/>
      <c r="G81" s="535">
        <f t="shared" si="6"/>
        <v>0</v>
      </c>
      <c r="H81" s="542">
        <f t="shared" si="7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8"/>
        <v>0</v>
      </c>
    </row>
    <row r="82" spans="1:26" ht="15" hidden="1" customHeight="1" x14ac:dyDescent="0.25">
      <c r="A82" s="535"/>
      <c r="B82" s="535"/>
      <c r="C82" s="535"/>
      <c r="D82" s="542"/>
      <c r="E82" s="535"/>
      <c r="F82" s="542"/>
      <c r="G82" s="535">
        <f t="shared" si="6"/>
        <v>0</v>
      </c>
      <c r="H82" s="542">
        <f t="shared" si="7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8"/>
        <v>0</v>
      </c>
    </row>
    <row r="83" spans="1:26" ht="15" hidden="1" customHeight="1" x14ac:dyDescent="0.25">
      <c r="A83" s="535"/>
      <c r="B83" s="535"/>
      <c r="C83" s="535"/>
      <c r="D83" s="542"/>
      <c r="E83" s="535"/>
      <c r="F83" s="542"/>
      <c r="G83" s="535">
        <f t="shared" si="6"/>
        <v>0</v>
      </c>
      <c r="H83" s="542">
        <f t="shared" si="7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8"/>
        <v>0</v>
      </c>
    </row>
    <row r="84" spans="1:26" ht="15" customHeight="1" x14ac:dyDescent="0.25">
      <c r="A84" s="443" t="s">
        <v>1221</v>
      </c>
      <c r="B84" s="444"/>
      <c r="C84" s="447">
        <f t="shared" ref="C84:Z84" si="9">SUM(C5:C83)</f>
        <v>86</v>
      </c>
      <c r="D84" s="448">
        <f t="shared" si="9"/>
        <v>126188</v>
      </c>
      <c r="E84" s="447">
        <f t="shared" si="9"/>
        <v>90</v>
      </c>
      <c r="F84" s="448">
        <f t="shared" si="9"/>
        <v>132901</v>
      </c>
      <c r="G84" s="447">
        <f t="shared" si="9"/>
        <v>4</v>
      </c>
      <c r="H84" s="448">
        <f t="shared" si="9"/>
        <v>6713</v>
      </c>
      <c r="I84" s="448">
        <f t="shared" si="9"/>
        <v>0</v>
      </c>
      <c r="J84" s="447">
        <f t="shared" si="9"/>
        <v>46864</v>
      </c>
      <c r="K84" s="448">
        <f t="shared" si="9"/>
        <v>0</v>
      </c>
      <c r="L84" s="447">
        <f t="shared" si="9"/>
        <v>0</v>
      </c>
      <c r="M84" s="447">
        <f t="shared" si="9"/>
        <v>0</v>
      </c>
      <c r="N84" s="447">
        <f t="shared" si="9"/>
        <v>0</v>
      </c>
      <c r="O84" s="447">
        <f t="shared" si="9"/>
        <v>0</v>
      </c>
      <c r="P84" s="447">
        <f t="shared" si="9"/>
        <v>0</v>
      </c>
      <c r="Q84" s="447">
        <f t="shared" si="9"/>
        <v>0</v>
      </c>
      <c r="R84" s="447">
        <f t="shared" si="9"/>
        <v>0</v>
      </c>
      <c r="S84" s="447">
        <f t="shared" si="9"/>
        <v>0</v>
      </c>
      <c r="T84" s="447">
        <f t="shared" si="9"/>
        <v>0</v>
      </c>
      <c r="U84" s="447">
        <f t="shared" si="9"/>
        <v>0</v>
      </c>
      <c r="V84" s="447">
        <f t="shared" si="9"/>
        <v>0</v>
      </c>
      <c r="W84" s="447">
        <f t="shared" si="9"/>
        <v>0</v>
      </c>
      <c r="X84" s="447">
        <f t="shared" si="9"/>
        <v>0</v>
      </c>
      <c r="Y84" s="447">
        <f t="shared" si="9"/>
        <v>0</v>
      </c>
      <c r="Z84" s="447">
        <f t="shared" si="9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s="535" customFormat="1" x14ac:dyDescent="0.25">
      <c r="A88" s="535" t="s">
        <v>1607</v>
      </c>
      <c r="B88" s="535" t="s">
        <v>100</v>
      </c>
      <c r="C88" s="506">
        <v>42529</v>
      </c>
      <c r="D88" s="506">
        <v>42569</v>
      </c>
      <c r="E88" s="535">
        <v>40</v>
      </c>
      <c r="F88" s="506">
        <v>42569</v>
      </c>
      <c r="G88" s="530">
        <v>5</v>
      </c>
      <c r="H88" s="532">
        <f>8215+2200</f>
        <v>10415</v>
      </c>
      <c r="I88" s="539">
        <f>2500+5000</f>
        <v>7500</v>
      </c>
      <c r="J88" s="539">
        <v>3286</v>
      </c>
      <c r="R88" s="535">
        <v>1</v>
      </c>
      <c r="S88" s="535">
        <v>1</v>
      </c>
      <c r="T88" s="535">
        <v>1</v>
      </c>
      <c r="U88" s="535">
        <v>1</v>
      </c>
      <c r="V88" s="535">
        <v>1</v>
      </c>
      <c r="Z88" s="535">
        <f>SUM(K88:Y88)</f>
        <v>5</v>
      </c>
    </row>
    <row r="89" spans="1:26" s="535" customFormat="1" x14ac:dyDescent="0.25">
      <c r="A89" s="535" t="s">
        <v>1610</v>
      </c>
      <c r="B89" s="535" t="s">
        <v>100</v>
      </c>
      <c r="C89" s="506">
        <v>42522</v>
      </c>
      <c r="D89" s="506">
        <v>42579</v>
      </c>
      <c r="E89" s="535">
        <v>58</v>
      </c>
      <c r="F89" s="506">
        <v>42552</v>
      </c>
      <c r="G89" s="535">
        <v>3</v>
      </c>
      <c r="H89" s="539">
        <v>6375</v>
      </c>
      <c r="I89" s="539">
        <v>5000</v>
      </c>
      <c r="J89" s="539">
        <v>2550</v>
      </c>
      <c r="K89" s="535">
        <v>1</v>
      </c>
      <c r="P89" s="535">
        <v>1</v>
      </c>
      <c r="Q89" s="535">
        <v>1</v>
      </c>
      <c r="Z89" s="535">
        <f>SUM(K89:Y89)</f>
        <v>3</v>
      </c>
    </row>
    <row r="90" spans="1:26" s="535" customFormat="1" x14ac:dyDescent="0.25">
      <c r="A90" s="535" t="s">
        <v>1614</v>
      </c>
      <c r="B90" s="535" t="s">
        <v>100</v>
      </c>
      <c r="C90" s="506">
        <v>42459</v>
      </c>
      <c r="D90" s="506">
        <v>42583</v>
      </c>
      <c r="E90" s="535">
        <v>121</v>
      </c>
      <c r="F90" s="506">
        <v>42522</v>
      </c>
      <c r="G90" s="530">
        <v>8</v>
      </c>
      <c r="H90" s="532">
        <v>13144</v>
      </c>
      <c r="I90" s="539">
        <v>5000</v>
      </c>
      <c r="J90" s="539">
        <v>5257</v>
      </c>
      <c r="K90" s="535">
        <v>1</v>
      </c>
      <c r="L90" s="535">
        <v>1</v>
      </c>
      <c r="N90" s="535">
        <v>1</v>
      </c>
      <c r="O90" s="535">
        <v>1</v>
      </c>
      <c r="Q90" s="535">
        <v>1</v>
      </c>
      <c r="R90" s="535">
        <v>1</v>
      </c>
      <c r="T90" s="535">
        <v>1</v>
      </c>
      <c r="W90" s="535">
        <v>1</v>
      </c>
      <c r="Z90" s="535">
        <f>SUM(K90:Y90)</f>
        <v>8</v>
      </c>
    </row>
    <row r="91" spans="1:26" ht="29.45" customHeight="1" x14ac:dyDescent="0.25">
      <c r="A91" s="538"/>
      <c r="B91" s="535"/>
      <c r="C91" s="487"/>
      <c r="D91" s="488"/>
      <c r="E91" s="486"/>
      <c r="F91" s="488"/>
      <c r="G91" s="486"/>
      <c r="H91" s="539"/>
      <c r="I91" s="539"/>
      <c r="J91" s="539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>
        <f t="shared" ref="Z91:Z95" si="10">SUM(K91:Y91)</f>
        <v>0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>
        <f t="shared" si="10"/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539"/>
      <c r="J93" s="539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>
        <f t="shared" si="10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>
        <f t="shared" si="10"/>
        <v>0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>
        <f t="shared" si="10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SUM(G88:G95)</f>
        <v>16</v>
      </c>
      <c r="H96" s="448">
        <f>SUM(H88:H95)</f>
        <v>29934</v>
      </c>
      <c r="I96" s="448">
        <f t="shared" ref="I96:J96" si="11">SUM(I88:I95)</f>
        <v>17500</v>
      </c>
      <c r="J96" s="448">
        <f t="shared" si="11"/>
        <v>11093</v>
      </c>
      <c r="K96" s="447">
        <f>SUM(K88:K95)</f>
        <v>2</v>
      </c>
      <c r="L96" s="447">
        <f t="shared" ref="L96:Y96" si="12">SUM(L88:L95)</f>
        <v>1</v>
      </c>
      <c r="M96" s="447">
        <f t="shared" si="12"/>
        <v>0</v>
      </c>
      <c r="N96" s="447">
        <f t="shared" si="12"/>
        <v>1</v>
      </c>
      <c r="O96" s="447">
        <f t="shared" si="12"/>
        <v>1</v>
      </c>
      <c r="P96" s="447">
        <f t="shared" si="12"/>
        <v>1</v>
      </c>
      <c r="Q96" s="447">
        <f t="shared" si="12"/>
        <v>2</v>
      </c>
      <c r="R96" s="447">
        <f t="shared" si="12"/>
        <v>2</v>
      </c>
      <c r="S96" s="447">
        <f t="shared" si="12"/>
        <v>1</v>
      </c>
      <c r="T96" s="447">
        <f t="shared" si="12"/>
        <v>2</v>
      </c>
      <c r="U96" s="447">
        <f t="shared" si="12"/>
        <v>1</v>
      </c>
      <c r="V96" s="447">
        <f t="shared" si="12"/>
        <v>1</v>
      </c>
      <c r="W96" s="447">
        <f t="shared" si="12"/>
        <v>1</v>
      </c>
      <c r="X96" s="447">
        <f t="shared" si="12"/>
        <v>0</v>
      </c>
      <c r="Y96" s="447">
        <f t="shared" si="12"/>
        <v>0</v>
      </c>
      <c r="Z96" s="447">
        <f>SUM(Z88:Z95)</f>
        <v>16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58" t="s">
        <v>1</v>
      </c>
      <c r="B99" s="558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38"/>
      <c r="B100" s="535"/>
      <c r="C100" s="487"/>
      <c r="D100" s="488"/>
      <c r="E100" s="486"/>
      <c r="F100" s="488"/>
      <c r="G100" s="486"/>
      <c r="H100" s="539"/>
      <c r="I100" s="456"/>
      <c r="J100" s="456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/>
    </row>
    <row r="101" spans="1:26" s="457" customFormat="1" ht="15" customHeight="1" x14ac:dyDescent="0.25">
      <c r="A101" s="538"/>
      <c r="B101" s="452"/>
      <c r="C101" s="453"/>
      <c r="D101" s="454"/>
      <c r="E101" s="455"/>
      <c r="F101" s="454"/>
      <c r="G101" s="455"/>
      <c r="H101" s="456"/>
      <c r="I101" s="456"/>
      <c r="J101" s="456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535"/>
    </row>
    <row r="102" spans="1:26" s="457" customFormat="1" ht="15" customHeight="1" x14ac:dyDescent="0.25">
      <c r="A102" s="538"/>
      <c r="B102" s="452"/>
      <c r="C102" s="453"/>
      <c r="D102" s="454"/>
      <c r="E102" s="455"/>
      <c r="F102" s="454"/>
      <c r="G102" s="455"/>
      <c r="H102" s="456"/>
      <c r="I102" s="456"/>
      <c r="J102" s="456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535"/>
    </row>
    <row r="103" spans="1:26" s="457" customFormat="1" ht="15" customHeight="1" x14ac:dyDescent="0.25">
      <c r="A103" s="538"/>
      <c r="B103" s="452"/>
      <c r="C103" s="453"/>
      <c r="D103" s="454"/>
      <c r="E103" s="455"/>
      <c r="F103" s="454"/>
      <c r="G103" s="455"/>
      <c r="H103" s="456"/>
      <c r="I103" s="456"/>
      <c r="J103" s="456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535"/>
    </row>
    <row r="104" spans="1:26" s="457" customFormat="1" ht="15" customHeight="1" x14ac:dyDescent="0.25">
      <c r="A104" s="538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/>
    </row>
    <row r="105" spans="1:26" s="457" customFormat="1" ht="15" customHeight="1" x14ac:dyDescent="0.25">
      <c r="A105" s="538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/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/>
    </row>
    <row r="107" spans="1:26" s="457" customFormat="1" ht="15" customHeight="1" x14ac:dyDescent="0.25">
      <c r="A107" s="54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/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H108" si="13">SUM(G100:G107)</f>
        <v>0</v>
      </c>
      <c r="H108" s="448">
        <f t="shared" si="13"/>
        <v>0</v>
      </c>
      <c r="I108" s="448">
        <f>SUM(I100:I107)</f>
        <v>0</v>
      </c>
      <c r="J108" s="448">
        <f>SUM(J100:J107)</f>
        <v>0</v>
      </c>
      <c r="K108" s="447">
        <f>SUM(K100:K107)</f>
        <v>0</v>
      </c>
      <c r="L108" s="447">
        <f t="shared" ref="L108:Y108" si="14">SUM(L100:L107)</f>
        <v>0</v>
      </c>
      <c r="M108" s="447">
        <f t="shared" si="14"/>
        <v>0</v>
      </c>
      <c r="N108" s="447">
        <f t="shared" si="14"/>
        <v>0</v>
      </c>
      <c r="O108" s="447">
        <f t="shared" si="14"/>
        <v>0</v>
      </c>
      <c r="P108" s="447">
        <f t="shared" si="14"/>
        <v>0</v>
      </c>
      <c r="Q108" s="447">
        <f t="shared" si="14"/>
        <v>0</v>
      </c>
      <c r="R108" s="447">
        <f t="shared" si="14"/>
        <v>0</v>
      </c>
      <c r="S108" s="447">
        <f t="shared" si="14"/>
        <v>0</v>
      </c>
      <c r="T108" s="447">
        <f t="shared" si="14"/>
        <v>0</v>
      </c>
      <c r="U108" s="447">
        <f t="shared" si="14"/>
        <v>0</v>
      </c>
      <c r="V108" s="447">
        <f t="shared" si="14"/>
        <v>0</v>
      </c>
      <c r="W108" s="447">
        <f t="shared" si="14"/>
        <v>0</v>
      </c>
      <c r="X108" s="447">
        <f t="shared" si="14"/>
        <v>0</v>
      </c>
      <c r="Y108" s="447">
        <f t="shared" si="14"/>
        <v>0</v>
      </c>
      <c r="Z108" s="447">
        <f>SUM(Z100:Z107)</f>
        <v>0</v>
      </c>
    </row>
    <row r="110" spans="1:26" x14ac:dyDescent="0.25">
      <c r="A110" s="739" t="s">
        <v>1229</v>
      </c>
      <c r="B110" s="739"/>
    </row>
    <row r="111" spans="1:26" ht="30" x14ac:dyDescent="0.25">
      <c r="A111" s="558" t="s">
        <v>1</v>
      </c>
      <c r="B111" s="558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38" t="s">
        <v>43</v>
      </c>
      <c r="B112" s="452" t="s">
        <v>100</v>
      </c>
      <c r="C112" s="453">
        <v>42544</v>
      </c>
      <c r="D112" s="454">
        <v>42571</v>
      </c>
      <c r="E112" s="455">
        <v>27</v>
      </c>
      <c r="F112" s="454">
        <v>42571</v>
      </c>
      <c r="G112" s="455">
        <v>-2</v>
      </c>
      <c r="H112" s="456">
        <v>-774</v>
      </c>
      <c r="I112" s="456">
        <v>0</v>
      </c>
      <c r="J112" s="456">
        <v>-310</v>
      </c>
      <c r="K112" s="452"/>
      <c r="L112" s="452"/>
      <c r="M112" s="452"/>
      <c r="N112" s="452"/>
      <c r="O112" s="452"/>
      <c r="P112" s="452">
        <v>-1</v>
      </c>
      <c r="Q112" s="452"/>
      <c r="R112" s="452">
        <v>-1</v>
      </c>
      <c r="S112" s="452"/>
      <c r="T112" s="452"/>
      <c r="U112" s="452"/>
      <c r="V112" s="452"/>
      <c r="W112" s="452"/>
      <c r="X112" s="452"/>
      <c r="Y112" s="452"/>
      <c r="Z112" s="535">
        <f>SUM(K112:Y112)</f>
        <v>-2</v>
      </c>
    </row>
    <row r="113" spans="1:26" ht="15" customHeight="1" x14ac:dyDescent="0.25">
      <c r="A113" s="538"/>
      <c r="B113" s="535"/>
      <c r="C113" s="487"/>
      <c r="D113" s="488"/>
      <c r="E113" s="486"/>
      <c r="F113" s="488"/>
      <c r="G113" s="486"/>
      <c r="H113" s="539"/>
      <c r="I113" s="539"/>
      <c r="J113" s="539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ref="Z113:Z114" si="15">SUM(K113:Y113)</f>
        <v>0</v>
      </c>
    </row>
    <row r="114" spans="1:26" ht="15" customHeight="1" x14ac:dyDescent="0.25">
      <c r="A114" s="538"/>
      <c r="B114" s="535"/>
      <c r="C114" s="487"/>
      <c r="D114" s="488"/>
      <c r="E114" s="486"/>
      <c r="F114" s="488"/>
      <c r="G114" s="486"/>
      <c r="H114" s="539"/>
      <c r="I114" s="539"/>
      <c r="J114" s="539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5"/>
        <v>0</v>
      </c>
    </row>
    <row r="115" spans="1:26" ht="15" customHeight="1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-2</v>
      </c>
      <c r="H115" s="448">
        <f>SUM(H112:H114)</f>
        <v>-774</v>
      </c>
      <c r="I115" s="448">
        <f t="shared" ref="I115:J115" si="16">SUM(I112:I114)</f>
        <v>0</v>
      </c>
      <c r="J115" s="448">
        <f t="shared" si="16"/>
        <v>-310</v>
      </c>
      <c r="K115" s="447">
        <f>SUM(K112:K114)</f>
        <v>0</v>
      </c>
      <c r="L115" s="447">
        <f t="shared" ref="L115:Z115" si="17">SUM(L112:L114)</f>
        <v>0</v>
      </c>
      <c r="M115" s="447">
        <f t="shared" si="17"/>
        <v>0</v>
      </c>
      <c r="N115" s="447">
        <f t="shared" si="17"/>
        <v>0</v>
      </c>
      <c r="O115" s="447">
        <f t="shared" si="17"/>
        <v>0</v>
      </c>
      <c r="P115" s="447">
        <f t="shared" si="17"/>
        <v>-1</v>
      </c>
      <c r="Q115" s="447">
        <f t="shared" si="17"/>
        <v>0</v>
      </c>
      <c r="R115" s="447">
        <f t="shared" si="17"/>
        <v>-1</v>
      </c>
      <c r="S115" s="447">
        <f t="shared" si="17"/>
        <v>0</v>
      </c>
      <c r="T115" s="447">
        <f t="shared" si="17"/>
        <v>0</v>
      </c>
      <c r="U115" s="447">
        <f t="shared" si="17"/>
        <v>0</v>
      </c>
      <c r="V115" s="447">
        <f t="shared" si="17"/>
        <v>0</v>
      </c>
      <c r="W115" s="447">
        <f t="shared" si="17"/>
        <v>0</v>
      </c>
      <c r="X115" s="447">
        <f t="shared" si="17"/>
        <v>0</v>
      </c>
      <c r="Y115" s="447">
        <f t="shared" si="17"/>
        <v>0</v>
      </c>
      <c r="Z115" s="447">
        <f t="shared" si="17"/>
        <v>-2</v>
      </c>
    </row>
    <row r="117" spans="1:26" x14ac:dyDescent="0.25">
      <c r="A117" s="739" t="s">
        <v>1231</v>
      </c>
      <c r="B117" s="739"/>
    </row>
    <row r="118" spans="1:26" ht="30" x14ac:dyDescent="0.25">
      <c r="A118" s="558" t="s">
        <v>1</v>
      </c>
      <c r="B118" s="558" t="s">
        <v>59</v>
      </c>
      <c r="C118" s="425"/>
      <c r="D118" s="425"/>
      <c r="E118" s="425"/>
      <c r="F118" s="426"/>
      <c r="G118" s="432" t="s">
        <v>1225</v>
      </c>
      <c r="H118" s="427" t="s">
        <v>1224</v>
      </c>
      <c r="I118" s="427" t="s">
        <v>1498</v>
      </c>
      <c r="J118" s="427" t="s">
        <v>94</v>
      </c>
      <c r="K118" s="424" t="s">
        <v>681</v>
      </c>
      <c r="L118" s="424" t="s">
        <v>1496</v>
      </c>
      <c r="M118" s="424" t="s">
        <v>1497</v>
      </c>
      <c r="N118" s="424" t="s">
        <v>682</v>
      </c>
      <c r="O118" s="424" t="s">
        <v>683</v>
      </c>
      <c r="P118" s="424" t="s">
        <v>87</v>
      </c>
      <c r="Q118" s="424" t="s">
        <v>684</v>
      </c>
      <c r="R118" s="424" t="s">
        <v>685</v>
      </c>
      <c r="S118" s="424" t="s">
        <v>690</v>
      </c>
      <c r="T118" s="424" t="s">
        <v>686</v>
      </c>
      <c r="U118" s="424" t="s">
        <v>687</v>
      </c>
      <c r="V118" s="424" t="s">
        <v>688</v>
      </c>
      <c r="W118" s="424" t="s">
        <v>689</v>
      </c>
      <c r="X118" s="424" t="s">
        <v>138</v>
      </c>
      <c r="Y118" s="424" t="s">
        <v>1385</v>
      </c>
      <c r="Z118" s="424" t="s">
        <v>1238</v>
      </c>
    </row>
    <row r="119" spans="1:26" ht="15" customHeight="1" x14ac:dyDescent="0.25">
      <c r="A119" s="538" t="s">
        <v>1608</v>
      </c>
      <c r="B119" s="535" t="s">
        <v>115</v>
      </c>
      <c r="C119" s="487">
        <v>42557</v>
      </c>
      <c r="D119" s="488">
        <v>42572</v>
      </c>
      <c r="E119" s="486">
        <v>15</v>
      </c>
      <c r="F119" s="488">
        <v>42422</v>
      </c>
      <c r="G119" s="486">
        <v>-1</v>
      </c>
      <c r="H119" s="539">
        <v>-2485</v>
      </c>
      <c r="I119" s="539">
        <v>0</v>
      </c>
      <c r="J119" s="539">
        <f>H119*0.4</f>
        <v>-994</v>
      </c>
      <c r="K119" s="535"/>
      <c r="L119" s="535"/>
      <c r="M119" s="535"/>
      <c r="N119" s="535"/>
      <c r="O119" s="535"/>
      <c r="P119" s="535"/>
      <c r="Q119" s="535">
        <v>-1</v>
      </c>
      <c r="R119" s="535"/>
      <c r="S119" s="535"/>
      <c r="T119" s="535"/>
      <c r="U119" s="535"/>
      <c r="V119" s="535"/>
      <c r="W119" s="535"/>
      <c r="X119" s="535"/>
      <c r="Y119" s="535"/>
      <c r="Z119" s="535">
        <f t="shared" ref="Z119:Z121" si="18">SUM(K119:Y119)</f>
        <v>-1</v>
      </c>
    </row>
    <row r="120" spans="1:26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8"/>
        <v>0</v>
      </c>
    </row>
    <row r="121" spans="1:26" ht="15" customHeight="1" x14ac:dyDescent="0.25">
      <c r="A121" s="538"/>
      <c r="B121" s="535"/>
      <c r="C121" s="487"/>
      <c r="D121" s="488"/>
      <c r="E121" s="486"/>
      <c r="F121" s="488"/>
      <c r="G121" s="486"/>
      <c r="H121" s="539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8"/>
        <v>0</v>
      </c>
    </row>
    <row r="122" spans="1:26" ht="15" customHeight="1" x14ac:dyDescent="0.25">
      <c r="A122" s="443" t="s">
        <v>1230</v>
      </c>
      <c r="B122" s="444"/>
      <c r="C122" s="445"/>
      <c r="D122" s="446"/>
      <c r="E122" s="447"/>
      <c r="F122" s="446"/>
      <c r="G122" s="447">
        <f>SUM(G119:G121)</f>
        <v>-1</v>
      </c>
      <c r="H122" s="448">
        <f>SUM(H119:H121)</f>
        <v>-2485</v>
      </c>
      <c r="I122" s="448">
        <f t="shared" ref="I122:J122" si="19">SUM(I119:I121)</f>
        <v>0</v>
      </c>
      <c r="J122" s="448">
        <f t="shared" si="19"/>
        <v>-994</v>
      </c>
      <c r="K122" s="447">
        <f>SUM(K119:K121)</f>
        <v>0</v>
      </c>
      <c r="L122" s="447">
        <f t="shared" ref="L122:Z122" si="20">SUM(L119:L121)</f>
        <v>0</v>
      </c>
      <c r="M122" s="447">
        <f t="shared" si="20"/>
        <v>0</v>
      </c>
      <c r="N122" s="447">
        <f t="shared" si="20"/>
        <v>0</v>
      </c>
      <c r="O122" s="447">
        <f t="shared" si="20"/>
        <v>0</v>
      </c>
      <c r="P122" s="447">
        <f t="shared" si="20"/>
        <v>0</v>
      </c>
      <c r="Q122" s="447">
        <f t="shared" si="20"/>
        <v>-1</v>
      </c>
      <c r="R122" s="447">
        <f t="shared" si="20"/>
        <v>0</v>
      </c>
      <c r="S122" s="447">
        <f t="shared" si="20"/>
        <v>0</v>
      </c>
      <c r="T122" s="447">
        <f t="shared" si="20"/>
        <v>0</v>
      </c>
      <c r="U122" s="447">
        <f t="shared" si="20"/>
        <v>0</v>
      </c>
      <c r="V122" s="447">
        <f t="shared" si="20"/>
        <v>0</v>
      </c>
      <c r="W122" s="447">
        <f t="shared" si="20"/>
        <v>0</v>
      </c>
      <c r="X122" s="447">
        <f t="shared" si="20"/>
        <v>0</v>
      </c>
      <c r="Y122" s="447">
        <f t="shared" si="20"/>
        <v>0</v>
      </c>
      <c r="Z122" s="447">
        <f t="shared" si="20"/>
        <v>-1</v>
      </c>
    </row>
    <row r="123" spans="1:26" ht="15.75" thickBot="1" x14ac:dyDescent="0.3"/>
    <row r="124" spans="1:26" ht="15.75" thickBot="1" x14ac:dyDescent="0.3">
      <c r="A124" s="436" t="s">
        <v>1232</v>
      </c>
      <c r="B124" s="434"/>
      <c r="C124" s="434"/>
      <c r="D124" s="434"/>
      <c r="E124" s="434"/>
      <c r="F124" s="434"/>
      <c r="G124" s="437">
        <f t="shared" ref="G124:Y124" si="21">G84+G96+G108+G115+G122</f>
        <v>17</v>
      </c>
      <c r="H124" s="438">
        <f t="shared" si="21"/>
        <v>33388</v>
      </c>
      <c r="I124" s="438">
        <f t="shared" si="21"/>
        <v>17500</v>
      </c>
      <c r="J124" s="438">
        <f t="shared" si="21"/>
        <v>56653</v>
      </c>
      <c r="K124" s="450">
        <f t="shared" si="21"/>
        <v>2</v>
      </c>
      <c r="L124" s="450">
        <f t="shared" si="21"/>
        <v>1</v>
      </c>
      <c r="M124" s="450">
        <f t="shared" si="21"/>
        <v>0</v>
      </c>
      <c r="N124" s="450">
        <f t="shared" si="21"/>
        <v>1</v>
      </c>
      <c r="O124" s="450">
        <f t="shared" si="21"/>
        <v>1</v>
      </c>
      <c r="P124" s="450">
        <f t="shared" si="21"/>
        <v>0</v>
      </c>
      <c r="Q124" s="450">
        <f t="shared" si="21"/>
        <v>1</v>
      </c>
      <c r="R124" s="450">
        <f t="shared" si="21"/>
        <v>1</v>
      </c>
      <c r="S124" s="450">
        <f t="shared" si="21"/>
        <v>1</v>
      </c>
      <c r="T124" s="450">
        <f t="shared" si="21"/>
        <v>2</v>
      </c>
      <c r="U124" s="450">
        <f t="shared" si="21"/>
        <v>1</v>
      </c>
      <c r="V124" s="450">
        <f t="shared" si="21"/>
        <v>1</v>
      </c>
      <c r="W124" s="450">
        <f t="shared" si="21"/>
        <v>1</v>
      </c>
      <c r="X124" s="450">
        <f t="shared" si="21"/>
        <v>0</v>
      </c>
      <c r="Y124" s="450">
        <f t="shared" si="21"/>
        <v>0</v>
      </c>
      <c r="Z124" s="450">
        <f>Z84+Z96+Z108+Z115+Z122</f>
        <v>13</v>
      </c>
    </row>
    <row r="125" spans="1:26" ht="15.75" thickBot="1" x14ac:dyDescent="0.3">
      <c r="A125" s="436" t="s">
        <v>64</v>
      </c>
      <c r="B125" s="434"/>
      <c r="C125" s="434"/>
      <c r="D125" s="434"/>
      <c r="E125" s="434"/>
      <c r="F125" s="434"/>
      <c r="G125" s="437"/>
      <c r="H125" s="438"/>
      <c r="I125" s="438"/>
      <c r="J125" s="438"/>
    </row>
    <row r="126" spans="1:26" ht="15.75" thickBot="1" x14ac:dyDescent="0.3">
      <c r="A126" s="439" t="s">
        <v>452</v>
      </c>
      <c r="B126" s="440"/>
      <c r="C126" s="440"/>
      <c r="D126" s="440"/>
      <c r="E126" s="440"/>
      <c r="F126" s="440"/>
      <c r="G126" s="441"/>
      <c r="H126" s="442">
        <f>H124-H125</f>
        <v>33388</v>
      </c>
      <c r="I126" s="442"/>
      <c r="J126" s="442"/>
    </row>
    <row r="127" spans="1:26" x14ac:dyDescent="0.25">
      <c r="K127" s="520">
        <f>K96+K108</f>
        <v>2</v>
      </c>
      <c r="L127" s="520">
        <f t="shared" ref="L127:Y127" si="22">L96+L108</f>
        <v>1</v>
      </c>
      <c r="M127" s="520">
        <f t="shared" si="22"/>
        <v>0</v>
      </c>
      <c r="N127" s="520">
        <f t="shared" si="22"/>
        <v>1</v>
      </c>
      <c r="O127" s="520">
        <f t="shared" si="22"/>
        <v>1</v>
      </c>
      <c r="P127" s="520">
        <f t="shared" si="22"/>
        <v>1</v>
      </c>
      <c r="Q127" s="520">
        <f t="shared" si="22"/>
        <v>2</v>
      </c>
      <c r="R127" s="520">
        <f t="shared" si="22"/>
        <v>2</v>
      </c>
      <c r="S127" s="520">
        <f t="shared" si="22"/>
        <v>1</v>
      </c>
      <c r="T127" s="520">
        <f t="shared" si="22"/>
        <v>2</v>
      </c>
      <c r="U127" s="520">
        <f t="shared" si="22"/>
        <v>1</v>
      </c>
      <c r="V127" s="520">
        <f t="shared" si="22"/>
        <v>1</v>
      </c>
      <c r="W127" s="520">
        <f t="shared" si="22"/>
        <v>1</v>
      </c>
      <c r="X127" s="520">
        <f t="shared" si="22"/>
        <v>0</v>
      </c>
      <c r="Y127" s="520">
        <f t="shared" si="22"/>
        <v>0</v>
      </c>
    </row>
    <row r="128" spans="1:26" x14ac:dyDescent="0.25">
      <c r="K128" s="520">
        <f>K115+K122</f>
        <v>0</v>
      </c>
      <c r="L128" s="520">
        <f t="shared" ref="L128:Y128" si="23">L115+L122</f>
        <v>0</v>
      </c>
      <c r="M128" s="520">
        <f t="shared" si="23"/>
        <v>0</v>
      </c>
      <c r="N128" s="520">
        <f t="shared" si="23"/>
        <v>0</v>
      </c>
      <c r="O128" s="520">
        <f t="shared" si="23"/>
        <v>0</v>
      </c>
      <c r="P128" s="520">
        <f t="shared" si="23"/>
        <v>-1</v>
      </c>
      <c r="Q128" s="520">
        <f t="shared" si="23"/>
        <v>-1</v>
      </c>
      <c r="R128" s="520">
        <f t="shared" si="23"/>
        <v>-1</v>
      </c>
      <c r="S128" s="520">
        <f t="shared" si="23"/>
        <v>0</v>
      </c>
      <c r="T128" s="520">
        <f t="shared" si="23"/>
        <v>0</v>
      </c>
      <c r="U128" s="520">
        <f t="shared" si="23"/>
        <v>0</v>
      </c>
      <c r="V128" s="520">
        <f t="shared" si="23"/>
        <v>0</v>
      </c>
      <c r="W128" s="520">
        <f t="shared" si="23"/>
        <v>0</v>
      </c>
      <c r="X128" s="520">
        <f t="shared" si="23"/>
        <v>0</v>
      </c>
      <c r="Y128" s="520">
        <f t="shared" si="23"/>
        <v>0</v>
      </c>
    </row>
    <row r="129" spans="8:25" x14ac:dyDescent="0.25">
      <c r="H129" s="435">
        <f>H84+H108+H115+H122</f>
        <v>3454</v>
      </c>
      <c r="I129" s="435"/>
      <c r="J129" s="435"/>
    </row>
    <row r="130" spans="8:25" x14ac:dyDescent="0.25">
      <c r="V130" s="520">
        <f>SUM(K127:V127)</f>
        <v>15</v>
      </c>
      <c r="Y130" s="419">
        <v>1</v>
      </c>
    </row>
    <row r="131" spans="8:25" x14ac:dyDescent="0.25">
      <c r="V131" s="520">
        <f>SUM(K128:V128)</f>
        <v>-3</v>
      </c>
      <c r="Y131" s="419">
        <v>0</v>
      </c>
    </row>
  </sheetData>
  <mergeCells count="8">
    <mergeCell ref="G3:H3"/>
    <mergeCell ref="A86:B86"/>
    <mergeCell ref="A98:B98"/>
    <mergeCell ref="A110:B110"/>
    <mergeCell ref="A117:B11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29"/>
  <sheetViews>
    <sheetView topLeftCell="A84" zoomScale="80" zoomScaleNormal="8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10" width="12.28515625" style="419" bestFit="1" customWidth="1"/>
    <col min="11" max="25" width="6.28515625" style="419" customWidth="1"/>
    <col min="26" max="26" width="8.85546875" style="419" bestFit="1" customWidth="1"/>
    <col min="27" max="16384" width="8.85546875" style="419"/>
  </cols>
  <sheetData>
    <row r="1" spans="1:26" x14ac:dyDescent="0.25">
      <c r="A1" s="418" t="s">
        <v>1358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58" t="s">
        <v>1</v>
      </c>
      <c r="B4" s="55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40</v>
      </c>
      <c r="B5" s="531" t="s">
        <v>115</v>
      </c>
      <c r="C5" s="531">
        <v>7</v>
      </c>
      <c r="D5" s="542">
        <v>8536</v>
      </c>
      <c r="E5" s="535">
        <v>7</v>
      </c>
      <c r="F5" s="542">
        <v>10459</v>
      </c>
      <c r="G5" s="535">
        <f t="shared" ref="G5:G36" si="0">E5-C5</f>
        <v>0</v>
      </c>
      <c r="H5" s="542">
        <f t="shared" ref="H5:H68" si="1">F5-D5</f>
        <v>1923</v>
      </c>
      <c r="I5" s="542"/>
      <c r="J5" s="542">
        <v>4000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2">SUM(K5:Y5)</f>
        <v>0</v>
      </c>
    </row>
    <row r="6" spans="1:26" ht="14.45" customHeight="1" x14ac:dyDescent="0.25">
      <c r="A6" s="530" t="s">
        <v>1384</v>
      </c>
      <c r="B6" s="530" t="s">
        <v>115</v>
      </c>
      <c r="C6" s="530">
        <v>2</v>
      </c>
      <c r="D6" s="542">
        <v>3190</v>
      </c>
      <c r="E6" s="535">
        <v>2</v>
      </c>
      <c r="F6" s="542">
        <v>3286</v>
      </c>
      <c r="G6" s="535">
        <f t="shared" si="0"/>
        <v>0</v>
      </c>
      <c r="H6" s="542">
        <f t="shared" si="1"/>
        <v>96</v>
      </c>
      <c r="I6" s="542"/>
      <c r="J6" s="542">
        <v>1314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1" t="s">
        <v>253</v>
      </c>
      <c r="B7" s="531" t="s">
        <v>115</v>
      </c>
      <c r="C7" s="531">
        <v>8</v>
      </c>
      <c r="D7" s="542">
        <v>11631.5</v>
      </c>
      <c r="E7" s="535">
        <v>8</v>
      </c>
      <c r="F7" s="542">
        <v>11914</v>
      </c>
      <c r="G7" s="535">
        <f t="shared" si="0"/>
        <v>0</v>
      </c>
      <c r="H7" s="542">
        <f t="shared" si="1"/>
        <v>282.5</v>
      </c>
      <c r="I7" s="542"/>
      <c r="J7" s="542">
        <v>3885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0" t="s">
        <v>1379</v>
      </c>
      <c r="B8" s="530" t="s">
        <v>115</v>
      </c>
      <c r="C8" s="530">
        <v>3</v>
      </c>
      <c r="D8" s="542">
        <v>4650</v>
      </c>
      <c r="E8" s="535">
        <v>3</v>
      </c>
      <c r="F8" s="542">
        <v>4650</v>
      </c>
      <c r="G8" s="535">
        <f t="shared" si="0"/>
        <v>0</v>
      </c>
      <c r="H8" s="542">
        <f t="shared" si="1"/>
        <v>0</v>
      </c>
      <c r="I8" s="542"/>
      <c r="J8" s="542">
        <v>0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1" t="s">
        <v>372</v>
      </c>
      <c r="B9" s="531" t="s">
        <v>115</v>
      </c>
      <c r="C9" s="531">
        <v>3</v>
      </c>
      <c r="D9" s="542">
        <v>4785</v>
      </c>
      <c r="E9" s="535">
        <v>3</v>
      </c>
      <c r="F9" s="542">
        <v>4929</v>
      </c>
      <c r="G9" s="535">
        <f t="shared" si="0"/>
        <v>0</v>
      </c>
      <c r="H9" s="542">
        <f t="shared" si="1"/>
        <v>144</v>
      </c>
      <c r="I9" s="542"/>
      <c r="J9" s="542">
        <v>1972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4" t="s">
        <v>321</v>
      </c>
      <c r="B10" s="530" t="s">
        <v>115</v>
      </c>
      <c r="C10" s="531">
        <v>4</v>
      </c>
      <c r="D10" s="542">
        <v>7560</v>
      </c>
      <c r="E10" s="535">
        <v>4</v>
      </c>
      <c r="F10" s="542">
        <v>7240</v>
      </c>
      <c r="G10" s="535">
        <f t="shared" si="0"/>
        <v>0</v>
      </c>
      <c r="H10" s="542">
        <f t="shared" si="1"/>
        <v>-320</v>
      </c>
      <c r="I10" s="542"/>
      <c r="J10" s="542">
        <v>2896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0" t="s">
        <v>1415</v>
      </c>
      <c r="B11" s="530" t="s">
        <v>100</v>
      </c>
      <c r="C11" s="530">
        <v>2</v>
      </c>
      <c r="D11" s="542">
        <v>3030.5</v>
      </c>
      <c r="E11" s="535">
        <v>2</v>
      </c>
      <c r="F11" s="542">
        <v>3286</v>
      </c>
      <c r="G11" s="535">
        <f t="shared" si="0"/>
        <v>0</v>
      </c>
      <c r="H11" s="542">
        <f t="shared" si="1"/>
        <v>255.5</v>
      </c>
      <c r="I11" s="542"/>
      <c r="J11" s="542">
        <v>1314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1" t="s">
        <v>373</v>
      </c>
      <c r="B12" s="531" t="s">
        <v>100</v>
      </c>
      <c r="C12" s="531">
        <v>3</v>
      </c>
      <c r="D12" s="542">
        <v>4785</v>
      </c>
      <c r="E12" s="535">
        <v>3</v>
      </c>
      <c r="F12" s="542">
        <v>4929</v>
      </c>
      <c r="G12" s="535">
        <f t="shared" si="0"/>
        <v>0</v>
      </c>
      <c r="H12" s="542">
        <f t="shared" si="1"/>
        <v>144</v>
      </c>
      <c r="I12" s="542"/>
      <c r="J12" s="542">
        <v>1972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0" t="s">
        <v>1386</v>
      </c>
      <c r="B13" s="530" t="s">
        <v>115</v>
      </c>
      <c r="C13" s="531">
        <v>2</v>
      </c>
      <c r="D13" s="542">
        <v>5390</v>
      </c>
      <c r="E13" s="535">
        <v>2</v>
      </c>
      <c r="F13" s="542">
        <v>5486</v>
      </c>
      <c r="G13" s="535">
        <f t="shared" si="0"/>
        <v>0</v>
      </c>
      <c r="H13" s="542">
        <f t="shared" si="1"/>
        <v>96</v>
      </c>
      <c r="I13" s="542"/>
      <c r="J13" s="542">
        <v>1314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0" t="s">
        <v>1387</v>
      </c>
      <c r="B14" s="530" t="s">
        <v>115</v>
      </c>
      <c r="C14" s="531">
        <v>2</v>
      </c>
      <c r="D14" s="542">
        <v>3190</v>
      </c>
      <c r="E14" s="535">
        <v>2</v>
      </c>
      <c r="F14" s="542">
        <v>3286</v>
      </c>
      <c r="G14" s="535">
        <f t="shared" si="0"/>
        <v>0</v>
      </c>
      <c r="H14" s="542">
        <f t="shared" si="1"/>
        <v>96</v>
      </c>
      <c r="I14" s="542"/>
      <c r="J14" s="542">
        <v>1314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0" t="s">
        <v>1388</v>
      </c>
      <c r="B15" s="530" t="s">
        <v>115</v>
      </c>
      <c r="C15" s="531">
        <v>2</v>
      </c>
      <c r="D15" s="542">
        <v>3190</v>
      </c>
      <c r="E15" s="535">
        <v>2</v>
      </c>
      <c r="F15" s="542">
        <v>3286</v>
      </c>
      <c r="G15" s="535">
        <f t="shared" si="0"/>
        <v>0</v>
      </c>
      <c r="H15" s="542">
        <f t="shared" si="1"/>
        <v>96</v>
      </c>
      <c r="I15" s="542"/>
      <c r="J15" s="542">
        <v>1314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0" t="s">
        <v>174</v>
      </c>
      <c r="B16" s="530" t="s">
        <v>100</v>
      </c>
      <c r="C16" s="531">
        <v>7</v>
      </c>
      <c r="D16" s="542">
        <v>13291</v>
      </c>
      <c r="E16" s="535">
        <v>7</v>
      </c>
      <c r="F16" s="542">
        <v>12020</v>
      </c>
      <c r="G16" s="535">
        <f t="shared" si="0"/>
        <v>0</v>
      </c>
      <c r="H16" s="542">
        <f t="shared" si="1"/>
        <v>-1271</v>
      </c>
      <c r="I16" s="542"/>
      <c r="J16" s="542">
        <v>4000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0" t="s">
        <v>191</v>
      </c>
      <c r="B17" s="530" t="s">
        <v>115</v>
      </c>
      <c r="C17" s="531">
        <v>9</v>
      </c>
      <c r="D17" s="542">
        <v>11182</v>
      </c>
      <c r="E17" s="535">
        <v>9</v>
      </c>
      <c r="F17" s="542">
        <v>12017</v>
      </c>
      <c r="G17" s="535">
        <f t="shared" si="0"/>
        <v>0</v>
      </c>
      <c r="H17" s="542">
        <f t="shared" si="1"/>
        <v>835</v>
      </c>
      <c r="I17" s="542"/>
      <c r="J17" s="542">
        <v>4000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0" t="s">
        <v>197</v>
      </c>
      <c r="B18" s="530" t="s">
        <v>115</v>
      </c>
      <c r="C18" s="531">
        <v>7</v>
      </c>
      <c r="D18" s="542">
        <v>11668.65</v>
      </c>
      <c r="E18" s="535">
        <v>7</v>
      </c>
      <c r="F18" s="542">
        <v>13133</v>
      </c>
      <c r="G18" s="535">
        <f t="shared" si="0"/>
        <v>0</v>
      </c>
      <c r="H18" s="542">
        <f t="shared" si="1"/>
        <v>1464.3500000000004</v>
      </c>
      <c r="I18" s="542"/>
      <c r="J18" s="542">
        <v>4000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0" t="s">
        <v>1371</v>
      </c>
      <c r="B19" s="530" t="s">
        <v>115</v>
      </c>
      <c r="C19" s="531"/>
      <c r="D19" s="542"/>
      <c r="E19" s="535">
        <v>-6</v>
      </c>
      <c r="F19" s="542">
        <v>-6570</v>
      </c>
      <c r="G19" s="535">
        <f t="shared" si="0"/>
        <v>-6</v>
      </c>
      <c r="H19" s="542">
        <f t="shared" si="1"/>
        <v>-6570</v>
      </c>
      <c r="I19" s="542"/>
      <c r="J19" s="542">
        <v>-2628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ref="Z19" si="3">SUM(K19:Y19)</f>
        <v>0</v>
      </c>
    </row>
    <row r="20" spans="1:26" ht="14.45" customHeight="1" x14ac:dyDescent="0.25">
      <c r="A20" s="531"/>
      <c r="B20" s="531"/>
      <c r="C20" s="531"/>
      <c r="D20" s="542"/>
      <c r="E20" s="535"/>
      <c r="F20" s="542"/>
      <c r="G20" s="535">
        <f t="shared" si="0"/>
        <v>0</v>
      </c>
      <c r="H20" s="542">
        <f t="shared" si="1"/>
        <v>0</v>
      </c>
      <c r="I20" s="542"/>
      <c r="J20" s="542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1"/>
      <c r="B21" s="531"/>
      <c r="C21" s="531"/>
      <c r="D21" s="542"/>
      <c r="E21" s="535"/>
      <c r="F21" s="542"/>
      <c r="G21" s="535">
        <f t="shared" si="0"/>
        <v>0</v>
      </c>
      <c r="H21" s="542">
        <f t="shared" si="1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1"/>
      <c r="B22" s="531"/>
      <c r="C22" s="531"/>
      <c r="D22" s="542"/>
      <c r="E22" s="535"/>
      <c r="F22" s="542"/>
      <c r="G22" s="535">
        <f t="shared" si="0"/>
        <v>0</v>
      </c>
      <c r="H22" s="542">
        <f t="shared" si="1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1"/>
      <c r="B23" s="531"/>
      <c r="C23" s="531"/>
      <c r="D23" s="542"/>
      <c r="E23" s="535"/>
      <c r="F23" s="542"/>
      <c r="G23" s="535">
        <f t="shared" si="0"/>
        <v>0</v>
      </c>
      <c r="H23" s="542">
        <f t="shared" si="1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1"/>
      <c r="B24" s="531"/>
      <c r="C24" s="530"/>
      <c r="D24" s="542"/>
      <c r="E24" s="535"/>
      <c r="F24" s="542"/>
      <c r="G24" s="535">
        <f t="shared" si="0"/>
        <v>0</v>
      </c>
      <c r="H24" s="542">
        <f t="shared" si="1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4"/>
      <c r="B25" s="530"/>
      <c r="C25" s="531"/>
      <c r="D25" s="542"/>
      <c r="E25" s="535"/>
      <c r="F25" s="542"/>
      <c r="G25" s="535">
        <f t="shared" si="0"/>
        <v>0</v>
      </c>
      <c r="H25" s="542">
        <f t="shared" si="1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1"/>
      <c r="B26" s="531"/>
      <c r="C26" s="531"/>
      <c r="D26" s="542"/>
      <c r="E26" s="535"/>
      <c r="F26" s="542"/>
      <c r="G26" s="535">
        <f t="shared" si="0"/>
        <v>0</v>
      </c>
      <c r="H26" s="542">
        <f t="shared" si="1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7"/>
      <c r="B27" s="530"/>
      <c r="C27" s="531"/>
      <c r="D27" s="542"/>
      <c r="E27" s="535"/>
      <c r="F27" s="542"/>
      <c r="G27" s="535">
        <f t="shared" si="0"/>
        <v>0</v>
      </c>
      <c r="H27" s="542">
        <f t="shared" si="1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0"/>
      <c r="B28" s="530"/>
      <c r="C28" s="531"/>
      <c r="D28" s="542"/>
      <c r="E28" s="535"/>
      <c r="F28" s="542"/>
      <c r="G28" s="535">
        <f t="shared" si="0"/>
        <v>0</v>
      </c>
      <c r="H28" s="542">
        <f t="shared" si="1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1"/>
      <c r="B29" s="531"/>
      <c r="C29" s="531"/>
      <c r="D29" s="542"/>
      <c r="E29" s="535"/>
      <c r="F29" s="542"/>
      <c r="G29" s="535">
        <f t="shared" si="0"/>
        <v>0</v>
      </c>
      <c r="H29" s="542">
        <f t="shared" si="1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A30" s="530"/>
      <c r="B30" s="530"/>
      <c r="C30" s="531"/>
      <c r="D30" s="542"/>
      <c r="E30" s="535"/>
      <c r="F30" s="542"/>
      <c r="G30" s="535">
        <f t="shared" si="0"/>
        <v>0</v>
      </c>
      <c r="H30" s="542">
        <f t="shared" si="1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customHeight="1" x14ac:dyDescent="0.25">
      <c r="A31" s="530"/>
      <c r="B31" s="530"/>
      <c r="C31" s="531"/>
      <c r="D31" s="542"/>
      <c r="E31" s="535"/>
      <c r="F31" s="542"/>
      <c r="G31" s="535">
        <f t="shared" si="0"/>
        <v>0</v>
      </c>
      <c r="H31" s="542">
        <f t="shared" si="1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customHeight="1" x14ac:dyDescent="0.25">
      <c r="A32" s="530"/>
      <c r="B32" s="530"/>
      <c r="C32" s="531"/>
      <c r="D32" s="542"/>
      <c r="E32" s="535"/>
      <c r="F32" s="542"/>
      <c r="G32" s="535">
        <f t="shared" si="0"/>
        <v>0</v>
      </c>
      <c r="H32" s="542">
        <f t="shared" si="1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customHeight="1" x14ac:dyDescent="0.25">
      <c r="A33" s="533"/>
      <c r="B33" s="531"/>
      <c r="C33" s="531"/>
      <c r="D33" s="542"/>
      <c r="E33" s="535"/>
      <c r="F33" s="542"/>
      <c r="G33" s="535">
        <f t="shared" si="0"/>
        <v>0</v>
      </c>
      <c r="H33" s="542">
        <f t="shared" si="1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customHeight="1" x14ac:dyDescent="0.25">
      <c r="B34" s="535"/>
      <c r="C34" s="531"/>
      <c r="D34" s="542"/>
      <c r="E34" s="535"/>
      <c r="F34" s="542"/>
      <c r="G34" s="535">
        <f t="shared" si="0"/>
        <v>0</v>
      </c>
      <c r="H34" s="542">
        <f t="shared" si="1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customHeight="1" x14ac:dyDescent="0.25">
      <c r="A35" s="531"/>
      <c r="B35" s="535"/>
      <c r="C35" s="531"/>
      <c r="D35" s="542"/>
      <c r="E35" s="535"/>
      <c r="F35" s="542"/>
      <c r="G35" s="535">
        <f t="shared" si="0"/>
        <v>0</v>
      </c>
      <c r="H35" s="542">
        <f t="shared" si="1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customHeight="1" x14ac:dyDescent="0.25">
      <c r="A36" s="531"/>
      <c r="B36" s="535"/>
      <c r="C36" s="531"/>
      <c r="D36" s="542"/>
      <c r="E36" s="535"/>
      <c r="F36" s="542"/>
      <c r="G36" s="535">
        <f t="shared" si="0"/>
        <v>0</v>
      </c>
      <c r="H36" s="542">
        <f t="shared" si="1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4.45" customHeight="1" x14ac:dyDescent="0.25">
      <c r="A37" s="531"/>
      <c r="B37" s="535"/>
      <c r="C37" s="531"/>
      <c r="D37" s="542"/>
      <c r="E37" s="535"/>
      <c r="F37" s="542"/>
      <c r="G37" s="535">
        <f t="shared" ref="G37:G68" si="4">E37-C37</f>
        <v>0</v>
      </c>
      <c r="H37" s="542">
        <f t="shared" si="1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2"/>
        <v>0</v>
      </c>
    </row>
    <row r="38" spans="1:26" ht="14.45" hidden="1" customHeight="1" x14ac:dyDescent="0.25">
      <c r="A38" s="530"/>
      <c r="B38" s="535"/>
      <c r="C38" s="531"/>
      <c r="D38" s="542"/>
      <c r="E38" s="535"/>
      <c r="F38" s="542"/>
      <c r="G38" s="535">
        <f t="shared" si="4"/>
        <v>0</v>
      </c>
      <c r="H38" s="542">
        <f t="shared" si="1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2"/>
        <v>0</v>
      </c>
    </row>
    <row r="39" spans="1:26" ht="14.45" hidden="1" customHeight="1" x14ac:dyDescent="0.25">
      <c r="A39" s="530"/>
      <c r="B39" s="535"/>
      <c r="C39" s="531"/>
      <c r="D39" s="542"/>
      <c r="E39" s="535"/>
      <c r="F39" s="542"/>
      <c r="G39" s="535">
        <f t="shared" si="4"/>
        <v>0</v>
      </c>
      <c r="H39" s="542">
        <f t="shared" si="1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2"/>
        <v>0</v>
      </c>
    </row>
    <row r="40" spans="1:26" ht="14.45" hidden="1" customHeight="1" x14ac:dyDescent="0.25">
      <c r="A40" s="530"/>
      <c r="B40" s="535"/>
      <c r="C40" s="531"/>
      <c r="D40" s="542"/>
      <c r="E40" s="535"/>
      <c r="F40" s="542"/>
      <c r="G40" s="535">
        <f t="shared" si="4"/>
        <v>0</v>
      </c>
      <c r="H40" s="542">
        <f t="shared" si="1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2"/>
        <v>0</v>
      </c>
    </row>
    <row r="41" spans="1:26" ht="14.45" hidden="1" customHeight="1" x14ac:dyDescent="0.25">
      <c r="A41" s="530"/>
      <c r="B41" s="535"/>
      <c r="C41" s="531"/>
      <c r="D41" s="542"/>
      <c r="E41" s="535"/>
      <c r="F41" s="542"/>
      <c r="G41" s="535">
        <f t="shared" si="4"/>
        <v>0</v>
      </c>
      <c r="H41" s="542">
        <f t="shared" si="1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2"/>
        <v>0</v>
      </c>
    </row>
    <row r="42" spans="1:26" ht="14.45" hidden="1" customHeight="1" x14ac:dyDescent="0.25">
      <c r="A42" s="530"/>
      <c r="B42" s="535"/>
      <c r="C42" s="531"/>
      <c r="D42" s="542"/>
      <c r="E42" s="535"/>
      <c r="F42" s="542"/>
      <c r="G42" s="535">
        <f t="shared" si="4"/>
        <v>0</v>
      </c>
      <c r="H42" s="542">
        <f t="shared" si="1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2"/>
        <v>0</v>
      </c>
    </row>
    <row r="43" spans="1:26" ht="15" hidden="1" customHeight="1" x14ac:dyDescent="0.25">
      <c r="A43" s="530"/>
      <c r="B43" s="535"/>
      <c r="C43" s="531"/>
      <c r="D43" s="542"/>
      <c r="E43" s="535"/>
      <c r="F43" s="542"/>
      <c r="G43" s="535">
        <f t="shared" si="4"/>
        <v>0</v>
      </c>
      <c r="H43" s="542">
        <f t="shared" si="1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2"/>
        <v>0</v>
      </c>
    </row>
    <row r="44" spans="1:26" ht="15" hidden="1" customHeight="1" x14ac:dyDescent="0.25">
      <c r="A44" s="530"/>
      <c r="B44" s="535"/>
      <c r="C44" s="531"/>
      <c r="D44" s="542"/>
      <c r="E44" s="535"/>
      <c r="F44" s="542"/>
      <c r="G44" s="535">
        <f t="shared" si="4"/>
        <v>0</v>
      </c>
      <c r="H44" s="542">
        <f t="shared" si="1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2"/>
        <v>0</v>
      </c>
    </row>
    <row r="45" spans="1:26" ht="15" hidden="1" customHeight="1" x14ac:dyDescent="0.25">
      <c r="A45" s="530"/>
      <c r="B45" s="535"/>
      <c r="C45" s="531"/>
      <c r="D45" s="542"/>
      <c r="E45" s="535"/>
      <c r="F45" s="542"/>
      <c r="G45" s="535">
        <f t="shared" si="4"/>
        <v>0</v>
      </c>
      <c r="H45" s="542">
        <f t="shared" si="1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2"/>
        <v>0</v>
      </c>
    </row>
    <row r="46" spans="1:26" ht="15" hidden="1" customHeight="1" x14ac:dyDescent="0.25">
      <c r="A46" s="530"/>
      <c r="B46" s="535"/>
      <c r="C46" s="531"/>
      <c r="D46" s="542"/>
      <c r="E46" s="535"/>
      <c r="F46" s="542"/>
      <c r="G46" s="535">
        <f t="shared" si="4"/>
        <v>0</v>
      </c>
      <c r="H46" s="542">
        <f t="shared" si="1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2"/>
        <v>0</v>
      </c>
    </row>
    <row r="47" spans="1:26" ht="15" hidden="1" customHeight="1" x14ac:dyDescent="0.25">
      <c r="A47" s="530"/>
      <c r="B47" s="535"/>
      <c r="C47" s="531"/>
      <c r="D47" s="542"/>
      <c r="E47" s="535"/>
      <c r="F47" s="542"/>
      <c r="G47" s="535">
        <f t="shared" si="4"/>
        <v>0</v>
      </c>
      <c r="H47" s="542">
        <f t="shared" si="1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2"/>
        <v>0</v>
      </c>
    </row>
    <row r="48" spans="1:26" ht="15" hidden="1" customHeight="1" x14ac:dyDescent="0.25">
      <c r="A48" s="537"/>
      <c r="B48" s="535"/>
      <c r="C48" s="531"/>
      <c r="D48" s="542"/>
      <c r="E48" s="535"/>
      <c r="F48" s="542"/>
      <c r="G48" s="535">
        <f t="shared" si="4"/>
        <v>0</v>
      </c>
      <c r="H48" s="542">
        <f t="shared" si="1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2"/>
        <v>0</v>
      </c>
    </row>
    <row r="49" spans="1:26" ht="15" hidden="1" customHeight="1" x14ac:dyDescent="0.25">
      <c r="A49" s="531"/>
      <c r="B49" s="535"/>
      <c r="C49" s="531"/>
      <c r="D49" s="542"/>
      <c r="E49" s="535"/>
      <c r="F49" s="542"/>
      <c r="G49" s="535">
        <f t="shared" si="4"/>
        <v>0</v>
      </c>
      <c r="H49" s="542">
        <f t="shared" si="1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2"/>
        <v>0</v>
      </c>
    </row>
    <row r="50" spans="1:26" ht="15" hidden="1" customHeight="1" x14ac:dyDescent="0.25">
      <c r="A50" s="530"/>
      <c r="B50" s="535"/>
      <c r="C50" s="530"/>
      <c r="D50" s="542"/>
      <c r="E50" s="535"/>
      <c r="F50" s="542"/>
      <c r="G50" s="535">
        <f t="shared" si="4"/>
        <v>0</v>
      </c>
      <c r="H50" s="542">
        <f t="shared" si="1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2"/>
        <v>0</v>
      </c>
    </row>
    <row r="51" spans="1:26" ht="15" hidden="1" customHeight="1" x14ac:dyDescent="0.25">
      <c r="A51" s="530"/>
      <c r="B51" s="535"/>
      <c r="C51" s="530"/>
      <c r="D51" s="542"/>
      <c r="E51" s="535"/>
      <c r="F51" s="542"/>
      <c r="G51" s="535">
        <f t="shared" si="4"/>
        <v>0</v>
      </c>
      <c r="H51" s="542">
        <f t="shared" si="1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2"/>
        <v>0</v>
      </c>
    </row>
    <row r="52" spans="1:26" ht="15" hidden="1" customHeight="1" x14ac:dyDescent="0.25">
      <c r="A52" s="530"/>
      <c r="B52" s="535"/>
      <c r="C52" s="530"/>
      <c r="D52" s="542"/>
      <c r="E52" s="535"/>
      <c r="F52" s="542"/>
      <c r="G52" s="535">
        <f t="shared" si="4"/>
        <v>0</v>
      </c>
      <c r="H52" s="542">
        <f t="shared" si="1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2"/>
        <v>0</v>
      </c>
    </row>
    <row r="53" spans="1:26" ht="15" hidden="1" customHeight="1" x14ac:dyDescent="0.25">
      <c r="A53" s="530"/>
      <c r="B53" s="535"/>
      <c r="C53" s="530"/>
      <c r="D53" s="542"/>
      <c r="E53" s="535"/>
      <c r="F53" s="542"/>
      <c r="G53" s="535">
        <f t="shared" si="4"/>
        <v>0</v>
      </c>
      <c r="H53" s="542">
        <f t="shared" si="1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2"/>
        <v>0</v>
      </c>
    </row>
    <row r="54" spans="1:26" ht="15" hidden="1" customHeight="1" x14ac:dyDescent="0.25">
      <c r="A54" s="530"/>
      <c r="B54" s="535"/>
      <c r="C54" s="530"/>
      <c r="D54" s="542"/>
      <c r="E54" s="535"/>
      <c r="F54" s="542"/>
      <c r="G54" s="535">
        <f t="shared" si="4"/>
        <v>0</v>
      </c>
      <c r="H54" s="542">
        <f t="shared" si="1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2"/>
        <v>0</v>
      </c>
    </row>
    <row r="55" spans="1:26" ht="15" hidden="1" customHeight="1" x14ac:dyDescent="0.25">
      <c r="A55" s="530"/>
      <c r="B55" s="535"/>
      <c r="C55" s="530"/>
      <c r="D55" s="542"/>
      <c r="E55" s="535"/>
      <c r="F55" s="542"/>
      <c r="G55" s="535">
        <f t="shared" si="4"/>
        <v>0</v>
      </c>
      <c r="H55" s="542">
        <f t="shared" si="1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2"/>
        <v>0</v>
      </c>
    </row>
    <row r="56" spans="1:26" ht="15" hidden="1" customHeight="1" x14ac:dyDescent="0.25">
      <c r="A56" s="530"/>
      <c r="B56" s="535"/>
      <c r="C56" s="530"/>
      <c r="D56" s="542"/>
      <c r="E56" s="535"/>
      <c r="F56" s="542"/>
      <c r="G56" s="535">
        <f t="shared" si="4"/>
        <v>0</v>
      </c>
      <c r="H56" s="542">
        <f t="shared" si="1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2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4"/>
        <v>0</v>
      </c>
      <c r="H57" s="542">
        <f t="shared" si="1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2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4"/>
        <v>0</v>
      </c>
      <c r="H58" s="542">
        <f t="shared" si="1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2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4"/>
        <v>0</v>
      </c>
      <c r="H59" s="542">
        <f t="shared" si="1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2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4"/>
        <v>0</v>
      </c>
      <c r="H60" s="542">
        <f t="shared" si="1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2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4"/>
        <v>0</v>
      </c>
      <c r="H61" s="542">
        <f t="shared" si="1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2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4"/>
        <v>0</v>
      </c>
      <c r="H62" s="542">
        <f t="shared" si="1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2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4"/>
        <v>0</v>
      </c>
      <c r="H63" s="542">
        <f t="shared" si="1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2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4"/>
        <v>0</v>
      </c>
      <c r="H64" s="542">
        <f t="shared" si="1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2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si="4"/>
        <v>0</v>
      </c>
      <c r="H65" s="542">
        <f t="shared" si="1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2"/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4"/>
        <v>0</v>
      </c>
      <c r="H66" s="542">
        <f t="shared" si="1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2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4"/>
        <v>0</v>
      </c>
      <c r="H67" s="542">
        <f t="shared" si="1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2"/>
        <v>0</v>
      </c>
    </row>
    <row r="68" spans="1:26" ht="15" hidden="1" customHeight="1" x14ac:dyDescent="0.25">
      <c r="A68" s="530"/>
      <c r="B68" s="535"/>
      <c r="C68" s="531"/>
      <c r="D68" s="542"/>
      <c r="E68" s="535"/>
      <c r="F68" s="542"/>
      <c r="G68" s="535">
        <f t="shared" si="4"/>
        <v>0</v>
      </c>
      <c r="H68" s="542">
        <f t="shared" si="1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2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ref="G69:G83" si="5">E69-C69</f>
        <v>0</v>
      </c>
      <c r="H69" s="542">
        <f t="shared" ref="H69:H83" si="6">F69-D69</f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7">SUM(K69:Y69)</f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5"/>
        <v>0</v>
      </c>
      <c r="H70" s="542">
        <f t="shared" si="6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7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5"/>
        <v>0</v>
      </c>
      <c r="H71" s="542">
        <f t="shared" si="6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7"/>
        <v>0</v>
      </c>
    </row>
    <row r="72" spans="1:26" ht="15" hidden="1" customHeight="1" x14ac:dyDescent="0.25">
      <c r="A72" s="534"/>
      <c r="B72" s="535"/>
      <c r="C72" s="531"/>
      <c r="D72" s="542"/>
      <c r="E72" s="535"/>
      <c r="F72" s="542"/>
      <c r="G72" s="535">
        <f t="shared" si="5"/>
        <v>0</v>
      </c>
      <c r="H72" s="542">
        <f t="shared" si="6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7"/>
        <v>0</v>
      </c>
    </row>
    <row r="73" spans="1:26" ht="15" hidden="1" customHeight="1" x14ac:dyDescent="0.25">
      <c r="A73" s="530"/>
      <c r="B73" s="535"/>
      <c r="C73" s="531"/>
      <c r="D73" s="542"/>
      <c r="E73" s="535"/>
      <c r="F73" s="542"/>
      <c r="G73" s="535">
        <f t="shared" si="5"/>
        <v>0</v>
      </c>
      <c r="H73" s="542">
        <f t="shared" si="6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7"/>
        <v>0</v>
      </c>
    </row>
    <row r="74" spans="1:26" ht="15" hidden="1" customHeight="1" x14ac:dyDescent="0.25">
      <c r="A74" s="534"/>
      <c r="B74" s="535"/>
      <c r="C74" s="531"/>
      <c r="D74" s="542"/>
      <c r="E74" s="535"/>
      <c r="F74" s="542"/>
      <c r="G74" s="535">
        <f t="shared" si="5"/>
        <v>0</v>
      </c>
      <c r="H74" s="542">
        <f t="shared" si="6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7"/>
        <v>0</v>
      </c>
    </row>
    <row r="75" spans="1:26" ht="15" hidden="1" customHeight="1" x14ac:dyDescent="0.25">
      <c r="A75" s="530"/>
      <c r="B75" s="535"/>
      <c r="C75" s="531"/>
      <c r="D75" s="542"/>
      <c r="E75" s="535"/>
      <c r="F75" s="542"/>
      <c r="G75" s="535">
        <f t="shared" si="5"/>
        <v>0</v>
      </c>
      <c r="H75" s="542">
        <f t="shared" si="6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7"/>
        <v>0</v>
      </c>
    </row>
    <row r="76" spans="1:26" ht="15" hidden="1" customHeight="1" x14ac:dyDescent="0.25">
      <c r="A76" s="533"/>
      <c r="B76" s="535"/>
      <c r="C76" s="531"/>
      <c r="D76" s="542"/>
      <c r="E76" s="535"/>
      <c r="F76" s="542"/>
      <c r="G76" s="535">
        <f t="shared" si="5"/>
        <v>0</v>
      </c>
      <c r="H76" s="542">
        <f t="shared" si="6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7"/>
        <v>0</v>
      </c>
    </row>
    <row r="77" spans="1:26" ht="15" hidden="1" customHeight="1" x14ac:dyDescent="0.25">
      <c r="A77" s="530"/>
      <c r="B77" s="535"/>
      <c r="C77" s="531"/>
      <c r="D77" s="542"/>
      <c r="E77" s="535"/>
      <c r="F77" s="542"/>
      <c r="G77" s="535">
        <f t="shared" si="5"/>
        <v>0</v>
      </c>
      <c r="H77" s="542">
        <f t="shared" si="6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7"/>
        <v>0</v>
      </c>
    </row>
    <row r="78" spans="1:26" ht="15" hidden="1" customHeight="1" x14ac:dyDescent="0.25">
      <c r="A78" s="530"/>
      <c r="B78" s="535"/>
      <c r="C78" s="531"/>
      <c r="D78" s="542"/>
      <c r="E78" s="535"/>
      <c r="F78" s="542"/>
      <c r="G78" s="535">
        <f t="shared" si="5"/>
        <v>0</v>
      </c>
      <c r="H78" s="542">
        <f t="shared" si="6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7"/>
        <v>0</v>
      </c>
    </row>
    <row r="79" spans="1:26" ht="15" hidden="1" customHeight="1" x14ac:dyDescent="0.25">
      <c r="A79" s="530"/>
      <c r="B79" s="535"/>
      <c r="C79" s="531"/>
      <c r="D79" s="542"/>
      <c r="E79" s="535"/>
      <c r="F79" s="542"/>
      <c r="G79" s="535">
        <f t="shared" si="5"/>
        <v>0</v>
      </c>
      <c r="H79" s="542">
        <f t="shared" si="6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7"/>
        <v>0</v>
      </c>
    </row>
    <row r="80" spans="1:26" ht="15" hidden="1" customHeight="1" x14ac:dyDescent="0.25">
      <c r="A80" s="538"/>
      <c r="B80" s="535"/>
      <c r="C80" s="535"/>
      <c r="D80" s="542"/>
      <c r="E80" s="535"/>
      <c r="F80" s="542"/>
      <c r="G80" s="535">
        <f t="shared" si="5"/>
        <v>0</v>
      </c>
      <c r="H80" s="542">
        <f t="shared" si="6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7"/>
        <v>0</v>
      </c>
    </row>
    <row r="81" spans="1:26" ht="15" hidden="1" customHeight="1" x14ac:dyDescent="0.25">
      <c r="A81" s="535"/>
      <c r="B81" s="535"/>
      <c r="C81" s="535"/>
      <c r="D81" s="542"/>
      <c r="E81" s="535"/>
      <c r="F81" s="542"/>
      <c r="G81" s="535">
        <f t="shared" si="5"/>
        <v>0</v>
      </c>
      <c r="H81" s="542">
        <f t="shared" si="6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7"/>
        <v>0</v>
      </c>
    </row>
    <row r="82" spans="1:26" ht="15" hidden="1" customHeight="1" x14ac:dyDescent="0.25">
      <c r="A82" s="535"/>
      <c r="B82" s="535"/>
      <c r="C82" s="535"/>
      <c r="D82" s="542"/>
      <c r="E82" s="535"/>
      <c r="F82" s="542"/>
      <c r="G82" s="535">
        <f t="shared" si="5"/>
        <v>0</v>
      </c>
      <c r="H82" s="542">
        <f t="shared" si="6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7"/>
        <v>0</v>
      </c>
    </row>
    <row r="83" spans="1:26" ht="15" hidden="1" customHeight="1" x14ac:dyDescent="0.25">
      <c r="A83" s="535"/>
      <c r="B83" s="535"/>
      <c r="C83" s="535"/>
      <c r="D83" s="542"/>
      <c r="E83" s="535"/>
      <c r="F83" s="542"/>
      <c r="G83" s="535">
        <f t="shared" si="5"/>
        <v>0</v>
      </c>
      <c r="H83" s="542">
        <f t="shared" si="6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7"/>
        <v>0</v>
      </c>
    </row>
    <row r="84" spans="1:26" ht="15" customHeight="1" x14ac:dyDescent="0.25">
      <c r="A84" s="443" t="s">
        <v>1221</v>
      </c>
      <c r="B84" s="444"/>
      <c r="C84" s="447">
        <f t="shared" ref="C84:Z84" si="8">SUM(C5:C83)</f>
        <v>61</v>
      </c>
      <c r="D84" s="448">
        <f t="shared" si="8"/>
        <v>96079.65</v>
      </c>
      <c r="E84" s="447">
        <f t="shared" si="8"/>
        <v>55</v>
      </c>
      <c r="F84" s="448">
        <f t="shared" si="8"/>
        <v>93351</v>
      </c>
      <c r="G84" s="447">
        <f t="shared" si="8"/>
        <v>-6</v>
      </c>
      <c r="H84" s="448">
        <f t="shared" si="8"/>
        <v>-2728.6499999999996</v>
      </c>
      <c r="I84" s="448">
        <f t="shared" si="8"/>
        <v>0</v>
      </c>
      <c r="J84" s="447">
        <f t="shared" si="8"/>
        <v>30667</v>
      </c>
      <c r="K84" s="448">
        <f t="shared" si="8"/>
        <v>0</v>
      </c>
      <c r="L84" s="447">
        <f t="shared" si="8"/>
        <v>0</v>
      </c>
      <c r="M84" s="447">
        <f t="shared" si="8"/>
        <v>0</v>
      </c>
      <c r="N84" s="447">
        <f t="shared" si="8"/>
        <v>0</v>
      </c>
      <c r="O84" s="447">
        <f t="shared" si="8"/>
        <v>0</v>
      </c>
      <c r="P84" s="447">
        <f t="shared" si="8"/>
        <v>0</v>
      </c>
      <c r="Q84" s="447">
        <f t="shared" si="8"/>
        <v>0</v>
      </c>
      <c r="R84" s="447">
        <f t="shared" si="8"/>
        <v>0</v>
      </c>
      <c r="S84" s="447">
        <f t="shared" si="8"/>
        <v>0</v>
      </c>
      <c r="T84" s="447">
        <f t="shared" si="8"/>
        <v>0</v>
      </c>
      <c r="U84" s="447">
        <f t="shared" si="8"/>
        <v>0</v>
      </c>
      <c r="V84" s="447">
        <f t="shared" si="8"/>
        <v>0</v>
      </c>
      <c r="W84" s="447">
        <f t="shared" si="8"/>
        <v>0</v>
      </c>
      <c r="X84" s="447">
        <f t="shared" si="8"/>
        <v>0</v>
      </c>
      <c r="Y84" s="447">
        <f t="shared" si="8"/>
        <v>0</v>
      </c>
      <c r="Z84" s="447">
        <f t="shared" si="8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s="535" customFormat="1" x14ac:dyDescent="0.25">
      <c r="A88" s="535" t="s">
        <v>1618</v>
      </c>
      <c r="B88" s="535" t="s">
        <v>100</v>
      </c>
      <c r="C88" s="506">
        <v>42552</v>
      </c>
      <c r="D88" s="506">
        <v>42606</v>
      </c>
      <c r="E88" s="535">
        <v>54</v>
      </c>
      <c r="F88" s="506">
        <v>42606</v>
      </c>
      <c r="G88" s="530">
        <v>3</v>
      </c>
      <c r="H88" s="532">
        <v>4929</v>
      </c>
      <c r="I88" s="539">
        <v>5000</v>
      </c>
      <c r="J88" s="539">
        <v>1972</v>
      </c>
      <c r="K88" s="535">
        <v>1</v>
      </c>
      <c r="P88" s="535">
        <v>1</v>
      </c>
      <c r="Q88" s="535">
        <v>1</v>
      </c>
      <c r="Z88" s="496">
        <f t="shared" ref="Z88:Z95" si="9">SUM(K88:Y88)</f>
        <v>3</v>
      </c>
    </row>
    <row r="89" spans="1:26" ht="15" customHeight="1" x14ac:dyDescent="0.25">
      <c r="A89" s="553" t="s">
        <v>1621</v>
      </c>
      <c r="B89" s="496" t="s">
        <v>115</v>
      </c>
      <c r="C89" s="497">
        <v>42347</v>
      </c>
      <c r="D89" s="498">
        <v>42607</v>
      </c>
      <c r="E89" s="499">
        <v>255</v>
      </c>
      <c r="F89" s="498">
        <v>42606</v>
      </c>
      <c r="G89" s="499">
        <v>1</v>
      </c>
      <c r="H89" s="554">
        <f>1595+2200</f>
        <v>3795</v>
      </c>
      <c r="I89" s="554">
        <f>2500+2800</f>
        <v>5300</v>
      </c>
      <c r="J89" s="554">
        <v>638</v>
      </c>
      <c r="K89" s="496"/>
      <c r="L89" s="496"/>
      <c r="M89" s="496"/>
      <c r="N89" s="496"/>
      <c r="O89" s="496"/>
      <c r="P89" s="496"/>
      <c r="Q89" s="496">
        <v>1</v>
      </c>
      <c r="R89" s="496"/>
      <c r="S89" s="496"/>
      <c r="T89" s="496"/>
      <c r="U89" s="496"/>
      <c r="V89" s="496"/>
      <c r="W89" s="496"/>
      <c r="X89" s="496"/>
      <c r="Y89" s="496"/>
      <c r="Z89" s="496">
        <f t="shared" si="9"/>
        <v>1</v>
      </c>
    </row>
    <row r="90" spans="1:26" ht="15" customHeight="1" x14ac:dyDescent="0.25">
      <c r="A90" s="538" t="s">
        <v>1630</v>
      </c>
      <c r="B90" s="535" t="s">
        <v>115</v>
      </c>
      <c r="C90" s="487"/>
      <c r="D90" s="488"/>
      <c r="E90" s="486"/>
      <c r="F90" s="488"/>
      <c r="G90" s="486"/>
      <c r="H90" s="539"/>
      <c r="I90" s="539">
        <v>2500</v>
      </c>
      <c r="J90" s="539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>
        <f t="shared" si="9"/>
        <v>0</v>
      </c>
    </row>
    <row r="91" spans="1:26" ht="29.45" customHeight="1" x14ac:dyDescent="0.25">
      <c r="A91" s="538"/>
      <c r="B91" s="535"/>
      <c r="C91" s="487"/>
      <c r="D91" s="488"/>
      <c r="E91" s="486"/>
      <c r="F91" s="488"/>
      <c r="G91" s="486"/>
      <c r="H91" s="539"/>
      <c r="I91" s="539"/>
      <c r="J91" s="539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>
        <f t="shared" si="9"/>
        <v>0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>
        <f t="shared" si="9"/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539"/>
      <c r="J93" s="539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>
        <f t="shared" si="9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>
        <f t="shared" si="9"/>
        <v>0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>
        <f t="shared" si="9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SUM(G88:G95)</f>
        <v>4</v>
      </c>
      <c r="H96" s="448">
        <f>SUM(H88:H95)</f>
        <v>8724</v>
      </c>
      <c r="I96" s="448">
        <f>SUM(I88:I95)</f>
        <v>12800</v>
      </c>
      <c r="J96" s="448">
        <f>SUM(J88:J95)</f>
        <v>2610</v>
      </c>
      <c r="K96" s="447">
        <f>SUM(K88:K95)</f>
        <v>1</v>
      </c>
      <c r="L96" s="447">
        <f t="shared" ref="L96:Z96" si="10">SUM(L88:L95)</f>
        <v>0</v>
      </c>
      <c r="M96" s="447">
        <f t="shared" si="10"/>
        <v>0</v>
      </c>
      <c r="N96" s="447">
        <f t="shared" si="10"/>
        <v>0</v>
      </c>
      <c r="O96" s="447">
        <f t="shared" si="10"/>
        <v>0</v>
      </c>
      <c r="P96" s="447">
        <f t="shared" si="10"/>
        <v>1</v>
      </c>
      <c r="Q96" s="447">
        <f t="shared" si="10"/>
        <v>2</v>
      </c>
      <c r="R96" s="447">
        <f t="shared" si="10"/>
        <v>0</v>
      </c>
      <c r="S96" s="447">
        <f t="shared" si="10"/>
        <v>0</v>
      </c>
      <c r="T96" s="447">
        <f t="shared" si="10"/>
        <v>0</v>
      </c>
      <c r="U96" s="447">
        <f t="shared" si="10"/>
        <v>0</v>
      </c>
      <c r="V96" s="447">
        <f t="shared" si="10"/>
        <v>0</v>
      </c>
      <c r="W96" s="447">
        <f t="shared" si="10"/>
        <v>0</v>
      </c>
      <c r="X96" s="447">
        <f t="shared" si="10"/>
        <v>0</v>
      </c>
      <c r="Y96" s="447">
        <f t="shared" si="10"/>
        <v>0</v>
      </c>
      <c r="Z96" s="447">
        <f t="shared" si="10"/>
        <v>4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58" t="s">
        <v>1</v>
      </c>
      <c r="B99" s="558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38" t="s">
        <v>1573</v>
      </c>
      <c r="B100" s="535" t="s">
        <v>115</v>
      </c>
      <c r="C100" s="487">
        <v>42493</v>
      </c>
      <c r="D100" s="488">
        <v>42517</v>
      </c>
      <c r="E100" s="486">
        <v>24</v>
      </c>
      <c r="F100" s="488">
        <v>42583</v>
      </c>
      <c r="G100" s="486">
        <v>4</v>
      </c>
      <c r="H100" s="539">
        <f>(G100*1550)</f>
        <v>6200</v>
      </c>
      <c r="I100" s="456">
        <v>0</v>
      </c>
      <c r="J100" s="456">
        <f>H100*0.4</f>
        <v>2480</v>
      </c>
      <c r="K100" s="535"/>
      <c r="L100" s="535">
        <v>1</v>
      </c>
      <c r="M100" s="535">
        <v>1</v>
      </c>
      <c r="N100" s="535">
        <v>1</v>
      </c>
      <c r="O100" s="535">
        <v>1</v>
      </c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4</v>
      </c>
    </row>
    <row r="101" spans="1:26" s="457" customFormat="1" ht="15" customHeight="1" x14ac:dyDescent="0.25">
      <c r="A101" s="538" t="s">
        <v>1291</v>
      </c>
      <c r="B101" s="452" t="s">
        <v>115</v>
      </c>
      <c r="C101" s="453">
        <v>42542</v>
      </c>
      <c r="D101" s="454">
        <v>42558</v>
      </c>
      <c r="E101" s="455">
        <v>17</v>
      </c>
      <c r="F101" s="454">
        <v>42583</v>
      </c>
      <c r="G101" s="455">
        <v>1</v>
      </c>
      <c r="H101" s="456">
        <v>890</v>
      </c>
      <c r="I101" s="456">
        <v>0</v>
      </c>
      <c r="J101" s="456">
        <v>356</v>
      </c>
      <c r="K101" s="452"/>
      <c r="L101" s="452"/>
      <c r="M101" s="452"/>
      <c r="N101" s="452">
        <v>1</v>
      </c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535">
        <f>SUM(K101:Y101)</f>
        <v>1</v>
      </c>
    </row>
    <row r="102" spans="1:26" s="457" customFormat="1" ht="15" customHeight="1" x14ac:dyDescent="0.25">
      <c r="A102" s="538" t="s">
        <v>1604</v>
      </c>
      <c r="B102" s="452" t="s">
        <v>115</v>
      </c>
      <c r="C102" s="453">
        <v>42551</v>
      </c>
      <c r="D102" s="454">
        <v>42558</v>
      </c>
      <c r="E102" s="455">
        <v>7</v>
      </c>
      <c r="F102" s="454">
        <v>42583</v>
      </c>
      <c r="G102" s="455">
        <v>2</v>
      </c>
      <c r="H102" s="456">
        <v>2810</v>
      </c>
      <c r="I102" s="456">
        <v>0</v>
      </c>
      <c r="J102" s="456">
        <v>1124</v>
      </c>
      <c r="K102" s="452"/>
      <c r="L102" s="452"/>
      <c r="M102" s="452"/>
      <c r="N102" s="452">
        <v>1</v>
      </c>
      <c r="O102" s="452">
        <v>1</v>
      </c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535">
        <f>SUM(K102:Y102)</f>
        <v>2</v>
      </c>
    </row>
    <row r="103" spans="1:26" s="457" customFormat="1" ht="15" customHeight="1" x14ac:dyDescent="0.25">
      <c r="A103" s="538" t="s">
        <v>1617</v>
      </c>
      <c r="B103" s="452" t="s">
        <v>115</v>
      </c>
      <c r="C103" s="453">
        <v>42476</v>
      </c>
      <c r="D103" s="454">
        <v>42600</v>
      </c>
      <c r="E103" s="455">
        <v>122</v>
      </c>
      <c r="F103" s="454">
        <v>42549</v>
      </c>
      <c r="G103" s="455">
        <v>3</v>
      </c>
      <c r="H103" s="456">
        <v>4650</v>
      </c>
      <c r="I103" s="456">
        <v>5000</v>
      </c>
      <c r="J103" s="456">
        <v>0</v>
      </c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>
        <v>1</v>
      </c>
      <c r="X103" s="452">
        <v>1</v>
      </c>
      <c r="Y103" s="452">
        <v>1</v>
      </c>
      <c r="Z103" s="535">
        <f>SUM(K103:Y103)</f>
        <v>3</v>
      </c>
    </row>
    <row r="104" spans="1:26" s="457" customFormat="1" ht="15" customHeight="1" x14ac:dyDescent="0.25">
      <c r="A104" s="538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/>
    </row>
    <row r="105" spans="1:26" s="457" customFormat="1" ht="15" customHeight="1" x14ac:dyDescent="0.25">
      <c r="A105" s="538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/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/>
    </row>
    <row r="107" spans="1:26" s="457" customFormat="1" ht="15" customHeight="1" x14ac:dyDescent="0.25">
      <c r="A107" s="54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/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11">SUM(G100:G107)</f>
        <v>10</v>
      </c>
      <c r="H108" s="448">
        <f t="shared" si="11"/>
        <v>14550</v>
      </c>
      <c r="I108" s="448">
        <f>SUM(I100:I107)</f>
        <v>5000</v>
      </c>
      <c r="J108" s="448">
        <f>SUM(J100:J107)</f>
        <v>3960</v>
      </c>
      <c r="K108" s="447">
        <f t="shared" si="11"/>
        <v>0</v>
      </c>
      <c r="L108" s="447">
        <f t="shared" si="11"/>
        <v>1</v>
      </c>
      <c r="M108" s="447">
        <f t="shared" si="11"/>
        <v>1</v>
      </c>
      <c r="N108" s="447">
        <f t="shared" si="11"/>
        <v>3</v>
      </c>
      <c r="O108" s="447">
        <f t="shared" si="11"/>
        <v>2</v>
      </c>
      <c r="P108" s="447">
        <f t="shared" si="11"/>
        <v>0</v>
      </c>
      <c r="Q108" s="447">
        <f t="shared" si="11"/>
        <v>0</v>
      </c>
      <c r="R108" s="447">
        <f t="shared" si="11"/>
        <v>0</v>
      </c>
      <c r="S108" s="447">
        <f t="shared" si="11"/>
        <v>0</v>
      </c>
      <c r="T108" s="447">
        <f t="shared" si="11"/>
        <v>0</v>
      </c>
      <c r="U108" s="447">
        <f t="shared" si="11"/>
        <v>0</v>
      </c>
      <c r="V108" s="447">
        <f t="shared" si="11"/>
        <v>0</v>
      </c>
      <c r="W108" s="447">
        <f t="shared" si="11"/>
        <v>1</v>
      </c>
      <c r="X108" s="447">
        <f t="shared" si="11"/>
        <v>1</v>
      </c>
      <c r="Y108" s="447">
        <f t="shared" si="11"/>
        <v>1</v>
      </c>
      <c r="Z108" s="447">
        <f t="shared" si="11"/>
        <v>10</v>
      </c>
    </row>
    <row r="110" spans="1:26" x14ac:dyDescent="0.25">
      <c r="A110" s="739" t="s">
        <v>1229</v>
      </c>
      <c r="B110" s="739"/>
    </row>
    <row r="111" spans="1:26" ht="30" x14ac:dyDescent="0.25">
      <c r="A111" s="558"/>
      <c r="B111" s="558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38" t="s">
        <v>1615</v>
      </c>
      <c r="B112" s="535" t="s">
        <v>115</v>
      </c>
      <c r="C112" s="453">
        <v>42353</v>
      </c>
      <c r="D112" s="454">
        <v>42586</v>
      </c>
      <c r="E112" s="455">
        <v>259</v>
      </c>
      <c r="F112" s="454">
        <v>42111</v>
      </c>
      <c r="G112" s="455">
        <v>0</v>
      </c>
      <c r="H112" s="456">
        <v>-2200</v>
      </c>
      <c r="I112" s="456">
        <v>0</v>
      </c>
      <c r="J112" s="456">
        <v>0</v>
      </c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535">
        <f t="shared" ref="Z112:Z114" si="12">SUM(K112:Y112)</f>
        <v>0</v>
      </c>
    </row>
    <row r="113" spans="1:26" ht="15" customHeight="1" x14ac:dyDescent="0.25">
      <c r="A113" s="538" t="s">
        <v>1144</v>
      </c>
      <c r="B113" s="535" t="s">
        <v>115</v>
      </c>
      <c r="C113" s="487">
        <v>42552</v>
      </c>
      <c r="D113" s="488">
        <v>42601</v>
      </c>
      <c r="E113" s="486">
        <v>49</v>
      </c>
      <c r="F113" s="488">
        <v>42592</v>
      </c>
      <c r="G113" s="486">
        <v>-1</v>
      </c>
      <c r="H113" s="539">
        <v>-1595</v>
      </c>
      <c r="I113" s="539">
        <v>0</v>
      </c>
      <c r="J113" s="539">
        <f>H113*0.4</f>
        <v>-638</v>
      </c>
      <c r="K113" s="535"/>
      <c r="L113" s="535"/>
      <c r="M113" s="535"/>
      <c r="N113" s="535"/>
      <c r="O113" s="535">
        <v>-1</v>
      </c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12"/>
        <v>-1</v>
      </c>
    </row>
    <row r="114" spans="1:26" ht="15" customHeight="1" x14ac:dyDescent="0.25">
      <c r="A114" s="538" t="s">
        <v>1622</v>
      </c>
      <c r="B114" s="535" t="s">
        <v>115</v>
      </c>
      <c r="C114" s="487">
        <v>42600</v>
      </c>
      <c r="D114" s="488">
        <v>42605</v>
      </c>
      <c r="E114" s="486">
        <v>5</v>
      </c>
      <c r="F114" s="488">
        <v>42610</v>
      </c>
      <c r="G114" s="486">
        <v>-1</v>
      </c>
      <c r="H114" s="539">
        <v>-1643</v>
      </c>
      <c r="I114" s="539"/>
      <c r="J114" s="539">
        <v>-657</v>
      </c>
      <c r="K114" s="535"/>
      <c r="L114" s="535"/>
      <c r="M114" s="535"/>
      <c r="N114" s="535"/>
      <c r="O114" s="535"/>
      <c r="P114" s="535">
        <v>-1</v>
      </c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2"/>
        <v>-1</v>
      </c>
    </row>
    <row r="115" spans="1:26" ht="15" customHeight="1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-2</v>
      </c>
      <c r="H115" s="448">
        <f>SUM(H112:H114)</f>
        <v>-5438</v>
      </c>
      <c r="I115" s="448">
        <f t="shared" ref="I115:Z115" si="13">SUM(I112:I114)</f>
        <v>0</v>
      </c>
      <c r="J115" s="448">
        <f t="shared" si="13"/>
        <v>-1295</v>
      </c>
      <c r="K115" s="447">
        <f t="shared" si="13"/>
        <v>0</v>
      </c>
      <c r="L115" s="447">
        <f t="shared" si="13"/>
        <v>0</v>
      </c>
      <c r="M115" s="447">
        <f t="shared" si="13"/>
        <v>0</v>
      </c>
      <c r="N115" s="447">
        <f t="shared" si="13"/>
        <v>0</v>
      </c>
      <c r="O115" s="447">
        <f t="shared" si="13"/>
        <v>-1</v>
      </c>
      <c r="P115" s="447">
        <f t="shared" si="13"/>
        <v>-1</v>
      </c>
      <c r="Q115" s="447">
        <f t="shared" si="13"/>
        <v>0</v>
      </c>
      <c r="R115" s="447">
        <f t="shared" si="13"/>
        <v>0</v>
      </c>
      <c r="S115" s="447">
        <f t="shared" si="13"/>
        <v>0</v>
      </c>
      <c r="T115" s="447">
        <f t="shared" si="13"/>
        <v>0</v>
      </c>
      <c r="U115" s="447">
        <f t="shared" si="13"/>
        <v>0</v>
      </c>
      <c r="V115" s="447">
        <f t="shared" si="13"/>
        <v>0</v>
      </c>
      <c r="W115" s="447">
        <f t="shared" si="13"/>
        <v>0</v>
      </c>
      <c r="X115" s="447"/>
      <c r="Y115" s="447"/>
      <c r="Z115" s="447">
        <f t="shared" si="13"/>
        <v>-2</v>
      </c>
    </row>
    <row r="117" spans="1:26" x14ac:dyDescent="0.25">
      <c r="A117" s="739" t="s">
        <v>1231</v>
      </c>
      <c r="B117" s="739"/>
    </row>
    <row r="118" spans="1:26" ht="30" x14ac:dyDescent="0.25">
      <c r="A118" s="558" t="s">
        <v>1</v>
      </c>
      <c r="B118" s="558" t="s">
        <v>59</v>
      </c>
      <c r="C118" s="425"/>
      <c r="D118" s="425"/>
      <c r="E118" s="425"/>
      <c r="F118" s="426"/>
      <c r="G118" s="432" t="s">
        <v>1225</v>
      </c>
      <c r="H118" s="427" t="s">
        <v>1224</v>
      </c>
      <c r="I118" s="427" t="s">
        <v>1498</v>
      </c>
      <c r="J118" s="427" t="s">
        <v>94</v>
      </c>
      <c r="K118" s="424" t="s">
        <v>681</v>
      </c>
      <c r="L118" s="424" t="s">
        <v>1496</v>
      </c>
      <c r="M118" s="424" t="s">
        <v>1497</v>
      </c>
      <c r="N118" s="424" t="s">
        <v>682</v>
      </c>
      <c r="O118" s="424" t="s">
        <v>683</v>
      </c>
      <c r="P118" s="424" t="s">
        <v>87</v>
      </c>
      <c r="Q118" s="424" t="s">
        <v>684</v>
      </c>
      <c r="R118" s="424" t="s">
        <v>685</v>
      </c>
      <c r="S118" s="424" t="s">
        <v>690</v>
      </c>
      <c r="T118" s="424" t="s">
        <v>686</v>
      </c>
      <c r="U118" s="424" t="s">
        <v>687</v>
      </c>
      <c r="V118" s="424" t="s">
        <v>688</v>
      </c>
      <c r="W118" s="424" t="s">
        <v>689</v>
      </c>
      <c r="X118" s="424" t="s">
        <v>138</v>
      </c>
      <c r="Y118" s="424" t="s">
        <v>1385</v>
      </c>
      <c r="Z118" s="424" t="s">
        <v>1238</v>
      </c>
    </row>
    <row r="119" spans="1:26" ht="15" customHeight="1" x14ac:dyDescent="0.25">
      <c r="A119" s="530" t="s">
        <v>1316</v>
      </c>
      <c r="B119" s="535" t="s">
        <v>115</v>
      </c>
      <c r="C119" s="487"/>
      <c r="D119" s="488"/>
      <c r="E119" s="486"/>
      <c r="F119" s="488"/>
      <c r="G119" s="486">
        <v>-1</v>
      </c>
      <c r="H119" s="539">
        <v>-1643</v>
      </c>
      <c r="I119" s="539">
        <v>0</v>
      </c>
      <c r="J119" s="539">
        <v>-657</v>
      </c>
      <c r="K119" s="535"/>
      <c r="L119" s="535"/>
      <c r="M119" s="535"/>
      <c r="N119" s="535"/>
      <c r="O119" s="535"/>
      <c r="P119" s="535">
        <v>-1</v>
      </c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ref="Z119:Z121" si="14">SUM(K119:Y119)</f>
        <v>-1</v>
      </c>
    </row>
    <row r="120" spans="1:26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4"/>
        <v>0</v>
      </c>
    </row>
    <row r="121" spans="1:26" ht="15" customHeight="1" x14ac:dyDescent="0.25">
      <c r="A121" s="538"/>
      <c r="B121" s="535"/>
      <c r="C121" s="487"/>
      <c r="D121" s="488"/>
      <c r="E121" s="486"/>
      <c r="F121" s="488"/>
      <c r="G121" s="486"/>
      <c r="H121" s="539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4"/>
        <v>0</v>
      </c>
    </row>
    <row r="122" spans="1:26" ht="15" customHeight="1" x14ac:dyDescent="0.25">
      <c r="A122" s="443" t="s">
        <v>1230</v>
      </c>
      <c r="B122" s="444"/>
      <c r="C122" s="445"/>
      <c r="D122" s="446"/>
      <c r="E122" s="447"/>
      <c r="F122" s="446"/>
      <c r="G122" s="447">
        <f>SUM(G119:G121)</f>
        <v>-1</v>
      </c>
      <c r="H122" s="448">
        <f>SUM(H119:H121)</f>
        <v>-1643</v>
      </c>
      <c r="I122" s="448">
        <f t="shared" ref="I122:Z122" si="15">SUM(I119:I121)</f>
        <v>0</v>
      </c>
      <c r="J122" s="448">
        <f t="shared" si="15"/>
        <v>-657</v>
      </c>
      <c r="K122" s="447">
        <f t="shared" si="15"/>
        <v>0</v>
      </c>
      <c r="L122" s="447">
        <f t="shared" si="15"/>
        <v>0</v>
      </c>
      <c r="M122" s="447">
        <f t="shared" si="15"/>
        <v>0</v>
      </c>
      <c r="N122" s="447">
        <f t="shared" si="15"/>
        <v>0</v>
      </c>
      <c r="O122" s="447">
        <f t="shared" si="15"/>
        <v>0</v>
      </c>
      <c r="P122" s="447">
        <f t="shared" si="15"/>
        <v>-1</v>
      </c>
      <c r="Q122" s="447">
        <f t="shared" si="15"/>
        <v>0</v>
      </c>
      <c r="R122" s="447">
        <f t="shared" si="15"/>
        <v>0</v>
      </c>
      <c r="S122" s="447">
        <f t="shared" si="15"/>
        <v>0</v>
      </c>
      <c r="T122" s="447">
        <f t="shared" si="15"/>
        <v>0</v>
      </c>
      <c r="U122" s="447">
        <f t="shared" si="15"/>
        <v>0</v>
      </c>
      <c r="V122" s="447">
        <f t="shared" si="15"/>
        <v>0</v>
      </c>
      <c r="W122" s="447">
        <f t="shared" si="15"/>
        <v>0</v>
      </c>
      <c r="X122" s="447"/>
      <c r="Y122" s="447"/>
      <c r="Z122" s="447">
        <f t="shared" si="15"/>
        <v>-1</v>
      </c>
    </row>
    <row r="123" spans="1:26" ht="15.75" thickBot="1" x14ac:dyDescent="0.3"/>
    <row r="124" spans="1:26" ht="15.75" thickBot="1" x14ac:dyDescent="0.3">
      <c r="A124" s="436" t="s">
        <v>1232</v>
      </c>
      <c r="B124" s="434"/>
      <c r="C124" s="434"/>
      <c r="D124" s="434"/>
      <c r="E124" s="434"/>
      <c r="F124" s="434"/>
      <c r="G124" s="437">
        <f t="shared" ref="G124:Y124" si="16">G84+G96+G108+G115+G122</f>
        <v>5</v>
      </c>
      <c r="H124" s="438">
        <f t="shared" si="16"/>
        <v>13464.349999999999</v>
      </c>
      <c r="I124" s="438">
        <f t="shared" si="16"/>
        <v>17800</v>
      </c>
      <c r="J124" s="438">
        <f t="shared" si="16"/>
        <v>35285</v>
      </c>
      <c r="K124" s="450">
        <f t="shared" si="16"/>
        <v>1</v>
      </c>
      <c r="L124" s="450">
        <f t="shared" si="16"/>
        <v>1</v>
      </c>
      <c r="M124" s="450">
        <f t="shared" si="16"/>
        <v>1</v>
      </c>
      <c r="N124" s="450">
        <f t="shared" si="16"/>
        <v>3</v>
      </c>
      <c r="O124" s="450">
        <f t="shared" si="16"/>
        <v>1</v>
      </c>
      <c r="P124" s="450">
        <f t="shared" si="16"/>
        <v>-1</v>
      </c>
      <c r="Q124" s="450">
        <f t="shared" si="16"/>
        <v>2</v>
      </c>
      <c r="R124" s="450">
        <f t="shared" si="16"/>
        <v>0</v>
      </c>
      <c r="S124" s="450">
        <f t="shared" si="16"/>
        <v>0</v>
      </c>
      <c r="T124" s="450">
        <f t="shared" si="16"/>
        <v>0</v>
      </c>
      <c r="U124" s="450">
        <f t="shared" si="16"/>
        <v>0</v>
      </c>
      <c r="V124" s="450">
        <f t="shared" si="16"/>
        <v>0</v>
      </c>
      <c r="W124" s="450">
        <f t="shared" si="16"/>
        <v>1</v>
      </c>
      <c r="X124" s="450">
        <f t="shared" si="16"/>
        <v>1</v>
      </c>
      <c r="Y124" s="450">
        <f t="shared" si="16"/>
        <v>1</v>
      </c>
      <c r="Z124" s="450">
        <f>Z84+Z96+Z108+Z115+Z122</f>
        <v>11</v>
      </c>
    </row>
    <row r="125" spans="1:26" ht="15.75" thickBot="1" x14ac:dyDescent="0.3">
      <c r="A125" s="436" t="s">
        <v>64</v>
      </c>
      <c r="B125" s="434"/>
      <c r="C125" s="434"/>
      <c r="D125" s="434"/>
      <c r="E125" s="434"/>
      <c r="F125" s="434"/>
      <c r="G125" s="437"/>
      <c r="H125" s="438"/>
      <c r="I125" s="438"/>
      <c r="J125" s="438"/>
    </row>
    <row r="126" spans="1:26" ht="15.75" thickBot="1" x14ac:dyDescent="0.3">
      <c r="A126" s="439" t="s">
        <v>452</v>
      </c>
      <c r="B126" s="440"/>
      <c r="C126" s="440"/>
      <c r="D126" s="440"/>
      <c r="E126" s="440"/>
      <c r="F126" s="440"/>
      <c r="G126" s="441"/>
      <c r="H126" s="442">
        <f>H124-H125</f>
        <v>13464.349999999999</v>
      </c>
      <c r="I126" s="442"/>
      <c r="J126" s="442"/>
    </row>
    <row r="129" spans="8:10" x14ac:dyDescent="0.25">
      <c r="H129" s="435">
        <f>H84+H108+H115+H122</f>
        <v>4740.3500000000004</v>
      </c>
      <c r="I129" s="435"/>
      <c r="J129" s="435"/>
    </row>
  </sheetData>
  <mergeCells count="8">
    <mergeCell ref="G3:H3"/>
    <mergeCell ref="A86:B86"/>
    <mergeCell ref="A98:B98"/>
    <mergeCell ref="A110:B110"/>
    <mergeCell ref="A117:B11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25"/>
  <sheetViews>
    <sheetView topLeftCell="A83" zoomScale="80" zoomScaleNormal="8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1359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58" t="s">
        <v>1</v>
      </c>
      <c r="B4" s="55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0" t="s">
        <v>381</v>
      </c>
      <c r="B5" s="530" t="s">
        <v>115</v>
      </c>
      <c r="C5" s="531">
        <v>6</v>
      </c>
      <c r="D5" s="542">
        <v>9570</v>
      </c>
      <c r="E5" s="531">
        <v>6</v>
      </c>
      <c r="F5" s="542">
        <v>9858</v>
      </c>
      <c r="G5" s="535">
        <f t="shared" ref="G5:G32" si="0">E5-C5</f>
        <v>0</v>
      </c>
      <c r="H5" s="542">
        <f t="shared" ref="H5:H32" si="1">F5-D5</f>
        <v>288</v>
      </c>
      <c r="I5" s="542"/>
      <c r="J5" s="542">
        <v>3943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36" si="2">SUM(K5:Y5)</f>
        <v>0</v>
      </c>
    </row>
    <row r="6" spans="1:26" ht="14.45" customHeight="1" x14ac:dyDescent="0.25">
      <c r="A6" s="531" t="s">
        <v>266</v>
      </c>
      <c r="B6" s="531" t="s">
        <v>1620</v>
      </c>
      <c r="C6" s="531">
        <v>6</v>
      </c>
      <c r="D6" s="542">
        <v>11291.5</v>
      </c>
      <c r="E6" s="531">
        <v>6</v>
      </c>
      <c r="F6" s="542">
        <f>9365+2200</f>
        <v>11565</v>
      </c>
      <c r="G6" s="535">
        <f t="shared" si="0"/>
        <v>0</v>
      </c>
      <c r="H6" s="542">
        <f t="shared" si="1"/>
        <v>273.5</v>
      </c>
      <c r="I6" s="542"/>
      <c r="J6" s="542">
        <v>3746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1" t="s">
        <v>267</v>
      </c>
      <c r="B7" s="531" t="s">
        <v>1620</v>
      </c>
      <c r="C7" s="531">
        <v>9</v>
      </c>
      <c r="D7" s="542">
        <v>15837.25</v>
      </c>
      <c r="E7" s="531">
        <v>9</v>
      </c>
      <c r="F7" s="542">
        <f>14048+2200</f>
        <v>16248</v>
      </c>
      <c r="G7" s="535">
        <f t="shared" si="0"/>
        <v>0</v>
      </c>
      <c r="H7" s="542">
        <f t="shared" si="1"/>
        <v>410.75</v>
      </c>
      <c r="I7" s="542"/>
      <c r="J7" s="542">
        <v>5619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1" t="s">
        <v>216</v>
      </c>
      <c r="B8" s="530" t="s">
        <v>115</v>
      </c>
      <c r="C8" s="531">
        <v>8</v>
      </c>
      <c r="D8" s="542">
        <v>10309</v>
      </c>
      <c r="E8" s="531">
        <v>8</v>
      </c>
      <c r="F8" s="542">
        <v>11216</v>
      </c>
      <c r="G8" s="535">
        <f t="shared" si="0"/>
        <v>0</v>
      </c>
      <c r="H8" s="542">
        <f t="shared" si="1"/>
        <v>907</v>
      </c>
      <c r="I8" s="542"/>
      <c r="J8" s="542">
        <v>4000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1" t="s">
        <v>1459</v>
      </c>
      <c r="B9" s="531" t="s">
        <v>1620</v>
      </c>
      <c r="C9" s="531">
        <v>8</v>
      </c>
      <c r="D9" s="542">
        <v>12286</v>
      </c>
      <c r="E9" s="531">
        <v>8</v>
      </c>
      <c r="F9" s="542">
        <v>12641</v>
      </c>
      <c r="G9" s="535">
        <f t="shared" si="0"/>
        <v>0</v>
      </c>
      <c r="H9" s="542">
        <f t="shared" si="1"/>
        <v>355</v>
      </c>
      <c r="I9" s="542"/>
      <c r="J9" s="542">
        <v>4000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0" t="s">
        <v>208</v>
      </c>
      <c r="B10" s="530" t="s">
        <v>1620</v>
      </c>
      <c r="C10" s="531">
        <v>8</v>
      </c>
      <c r="D10" s="542">
        <v>12760</v>
      </c>
      <c r="E10" s="531">
        <v>8</v>
      </c>
      <c r="F10" s="542">
        <v>13144</v>
      </c>
      <c r="G10" s="535">
        <f t="shared" si="0"/>
        <v>0</v>
      </c>
      <c r="H10" s="542">
        <f t="shared" si="1"/>
        <v>384</v>
      </c>
      <c r="I10" s="542"/>
      <c r="J10" s="542">
        <v>5258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0" t="s">
        <v>374</v>
      </c>
      <c r="B11" s="530" t="s">
        <v>1635</v>
      </c>
      <c r="C11" s="531">
        <v>2</v>
      </c>
      <c r="D11" s="542">
        <v>3190</v>
      </c>
      <c r="E11" s="531">
        <v>2</v>
      </c>
      <c r="F11" s="542">
        <v>3286</v>
      </c>
      <c r="G11" s="535">
        <f t="shared" si="0"/>
        <v>0</v>
      </c>
      <c r="H11" s="542">
        <f t="shared" si="1"/>
        <v>96</v>
      </c>
      <c r="I11" s="542"/>
      <c r="J11" s="542">
        <v>1314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1" t="s">
        <v>383</v>
      </c>
      <c r="B12" s="531" t="s">
        <v>115</v>
      </c>
      <c r="C12" s="531">
        <v>2</v>
      </c>
      <c r="D12" s="542">
        <v>3890</v>
      </c>
      <c r="E12" s="531">
        <v>2</v>
      </c>
      <c r="F12" s="542">
        <f>3286*0.9</f>
        <v>2957.4</v>
      </c>
      <c r="G12" s="535">
        <f t="shared" si="0"/>
        <v>0</v>
      </c>
      <c r="H12" s="542">
        <f t="shared" si="1"/>
        <v>-932.59999999999991</v>
      </c>
      <c r="I12" s="542"/>
      <c r="J12" s="542">
        <f>F12*0.4</f>
        <v>1182.96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1" t="s">
        <v>384</v>
      </c>
      <c r="B13" s="531" t="s">
        <v>115</v>
      </c>
      <c r="C13" s="531">
        <v>2</v>
      </c>
      <c r="D13" s="542">
        <v>2270</v>
      </c>
      <c r="E13" s="531">
        <v>2</v>
      </c>
      <c r="F13" s="542">
        <f>3286*0.9</f>
        <v>2957.4</v>
      </c>
      <c r="G13" s="535">
        <f t="shared" si="0"/>
        <v>0</v>
      </c>
      <c r="H13" s="542">
        <f t="shared" si="1"/>
        <v>687.40000000000009</v>
      </c>
      <c r="I13" s="542"/>
      <c r="J13" s="542">
        <f>F13*0.4</f>
        <v>1182.96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1" t="s">
        <v>269</v>
      </c>
      <c r="B14" s="531" t="s">
        <v>115</v>
      </c>
      <c r="C14" s="531">
        <v>8</v>
      </c>
      <c r="D14" s="542">
        <v>12603.5</v>
      </c>
      <c r="E14" s="531">
        <v>8</v>
      </c>
      <c r="F14" s="542">
        <f>(13144*0.9)+2200</f>
        <v>14029.6</v>
      </c>
      <c r="G14" s="535">
        <f t="shared" si="0"/>
        <v>0</v>
      </c>
      <c r="H14" s="542">
        <f t="shared" si="1"/>
        <v>1426.1000000000004</v>
      </c>
      <c r="I14" s="542"/>
      <c r="J14" s="542">
        <f>11830*0.4</f>
        <v>4732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1" t="s">
        <v>382</v>
      </c>
      <c r="B15" s="531" t="s">
        <v>115</v>
      </c>
      <c r="C15" s="531">
        <v>2</v>
      </c>
      <c r="D15" s="542">
        <v>2270</v>
      </c>
      <c r="E15" s="531">
        <v>2</v>
      </c>
      <c r="F15" s="542">
        <f>3286*0.9</f>
        <v>2957.4</v>
      </c>
      <c r="G15" s="535">
        <f t="shared" si="0"/>
        <v>0</v>
      </c>
      <c r="H15" s="542">
        <f t="shared" si="1"/>
        <v>687.40000000000009</v>
      </c>
      <c r="I15" s="542"/>
      <c r="J15" s="542">
        <f>F15*0.4</f>
        <v>1182.96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1" t="s">
        <v>1562</v>
      </c>
      <c r="B16" s="531" t="s">
        <v>115</v>
      </c>
      <c r="C16" s="531">
        <v>8</v>
      </c>
      <c r="D16" s="542">
        <v>12760</v>
      </c>
      <c r="E16" s="531">
        <v>8</v>
      </c>
      <c r="F16" s="542">
        <f>13144*0.9</f>
        <v>11829.6</v>
      </c>
      <c r="G16" s="535">
        <f t="shared" si="0"/>
        <v>0</v>
      </c>
      <c r="H16" s="542">
        <f t="shared" si="1"/>
        <v>-930.39999999999964</v>
      </c>
      <c r="I16" s="542"/>
      <c r="J16" s="542">
        <f>F16*0.4</f>
        <v>4731.84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1" t="s">
        <v>1563</v>
      </c>
      <c r="B17" s="531" t="s">
        <v>1620</v>
      </c>
      <c r="C17" s="531">
        <v>3</v>
      </c>
      <c r="D17" s="542">
        <v>4785</v>
      </c>
      <c r="E17" s="531">
        <v>3</v>
      </c>
      <c r="F17" s="542">
        <f>4929*0.9</f>
        <v>4436.1000000000004</v>
      </c>
      <c r="G17" s="535">
        <f t="shared" si="0"/>
        <v>0</v>
      </c>
      <c r="H17" s="542">
        <f t="shared" si="1"/>
        <v>-348.89999999999964</v>
      </c>
      <c r="I17" s="542"/>
      <c r="J17" s="542">
        <f>F17*0.4</f>
        <v>1774.4400000000003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0" t="s">
        <v>116</v>
      </c>
      <c r="B18" s="530" t="s">
        <v>115</v>
      </c>
      <c r="C18" s="531">
        <v>4</v>
      </c>
      <c r="D18" s="542">
        <v>6380</v>
      </c>
      <c r="E18" s="531">
        <v>4</v>
      </c>
      <c r="F18" s="542">
        <v>6572</v>
      </c>
      <c r="G18" s="535">
        <f t="shared" si="0"/>
        <v>0</v>
      </c>
      <c r="H18" s="542">
        <f t="shared" si="1"/>
        <v>192</v>
      </c>
      <c r="I18" s="542"/>
      <c r="J18" s="542">
        <v>2629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1" t="s">
        <v>380</v>
      </c>
      <c r="B19" s="531" t="s">
        <v>115</v>
      </c>
      <c r="C19" s="531">
        <v>8</v>
      </c>
      <c r="D19" s="542">
        <v>10962.5</v>
      </c>
      <c r="E19" s="531">
        <v>8</v>
      </c>
      <c r="F19" s="542">
        <v>10796</v>
      </c>
      <c r="G19" s="535">
        <f t="shared" si="0"/>
        <v>0</v>
      </c>
      <c r="H19" s="542">
        <f t="shared" si="1"/>
        <v>-166.5</v>
      </c>
      <c r="I19" s="542"/>
      <c r="J19" s="542">
        <v>4000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2"/>
        <v>0</v>
      </c>
    </row>
    <row r="20" spans="1:26" ht="14.45" customHeight="1" x14ac:dyDescent="0.25">
      <c r="A20" s="530" t="s">
        <v>1405</v>
      </c>
      <c r="B20" s="530" t="s">
        <v>1620</v>
      </c>
      <c r="C20" s="531">
        <v>10</v>
      </c>
      <c r="D20" s="542">
        <v>17700</v>
      </c>
      <c r="E20" s="531">
        <v>10</v>
      </c>
      <c r="F20" s="542">
        <v>18060</v>
      </c>
      <c r="G20" s="535">
        <f t="shared" si="0"/>
        <v>0</v>
      </c>
      <c r="H20" s="542">
        <f t="shared" si="1"/>
        <v>360</v>
      </c>
      <c r="I20" s="542"/>
      <c r="J20" s="542">
        <v>5104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4"/>
      <c r="B21" s="530"/>
      <c r="C21" s="531"/>
      <c r="D21" s="542"/>
      <c r="E21" s="535"/>
      <c r="F21" s="542"/>
      <c r="G21" s="535">
        <f t="shared" si="0"/>
        <v>0</v>
      </c>
      <c r="H21" s="542">
        <f t="shared" si="1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1"/>
      <c r="B22" s="531"/>
      <c r="C22" s="531"/>
      <c r="D22" s="542"/>
      <c r="E22" s="535"/>
      <c r="F22" s="542"/>
      <c r="G22" s="535">
        <f t="shared" si="0"/>
        <v>0</v>
      </c>
      <c r="H22" s="542">
        <f t="shared" si="1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7"/>
      <c r="B23" s="530"/>
      <c r="C23" s="531"/>
      <c r="D23" s="542"/>
      <c r="E23" s="535"/>
      <c r="F23" s="542"/>
      <c r="G23" s="535">
        <f t="shared" si="0"/>
        <v>0</v>
      </c>
      <c r="H23" s="542">
        <f t="shared" si="1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0"/>
      <c r="B24" s="530"/>
      <c r="C24" s="531"/>
      <c r="D24" s="542"/>
      <c r="E24" s="535"/>
      <c r="F24" s="542"/>
      <c r="G24" s="535">
        <f t="shared" si="0"/>
        <v>0</v>
      </c>
      <c r="H24" s="542">
        <f t="shared" si="1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1"/>
      <c r="B25" s="531"/>
      <c r="C25" s="531"/>
      <c r="D25" s="542"/>
      <c r="E25" s="535"/>
      <c r="F25" s="542"/>
      <c r="G25" s="535">
        <f t="shared" si="0"/>
        <v>0</v>
      </c>
      <c r="H25" s="542">
        <f t="shared" si="1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0"/>
      <c r="B26" s="530"/>
      <c r="C26" s="531"/>
      <c r="D26" s="542"/>
      <c r="E26" s="535"/>
      <c r="F26" s="542"/>
      <c r="G26" s="535">
        <f t="shared" si="0"/>
        <v>0</v>
      </c>
      <c r="H26" s="542">
        <f t="shared" si="1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0"/>
      <c r="B27" s="530"/>
      <c r="C27" s="531"/>
      <c r="D27" s="542"/>
      <c r="E27" s="535"/>
      <c r="F27" s="542"/>
      <c r="G27" s="535">
        <f t="shared" si="0"/>
        <v>0</v>
      </c>
      <c r="H27" s="542">
        <f t="shared" si="1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0"/>
      <c r="B28" s="530"/>
      <c r="C28" s="531"/>
      <c r="D28" s="542"/>
      <c r="E28" s="535"/>
      <c r="F28" s="542"/>
      <c r="G28" s="535">
        <f t="shared" si="0"/>
        <v>0</v>
      </c>
      <c r="H28" s="542">
        <f t="shared" si="1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3"/>
      <c r="B29" s="531"/>
      <c r="C29" s="531"/>
      <c r="D29" s="542"/>
      <c r="E29" s="535"/>
      <c r="F29" s="542"/>
      <c r="G29" s="535">
        <f t="shared" si="0"/>
        <v>0</v>
      </c>
      <c r="H29" s="542">
        <f t="shared" si="1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B30" s="535"/>
      <c r="C30" s="531"/>
      <c r="D30" s="542"/>
      <c r="E30" s="535"/>
      <c r="F30" s="542"/>
      <c r="G30" s="535">
        <f t="shared" si="0"/>
        <v>0</v>
      </c>
      <c r="H30" s="542">
        <f t="shared" si="1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customHeight="1" x14ac:dyDescent="0.25">
      <c r="A31" s="531"/>
      <c r="B31" s="535"/>
      <c r="C31" s="531"/>
      <c r="D31" s="542"/>
      <c r="E31" s="535"/>
      <c r="F31" s="542"/>
      <c r="G31" s="535">
        <f t="shared" si="0"/>
        <v>0</v>
      </c>
      <c r="H31" s="542">
        <f t="shared" si="1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customHeight="1" x14ac:dyDescent="0.25">
      <c r="A32" s="531"/>
      <c r="B32" s="535"/>
      <c r="C32" s="531"/>
      <c r="D32" s="542"/>
      <c r="E32" s="535"/>
      <c r="F32" s="542"/>
      <c r="G32" s="535">
        <f t="shared" si="0"/>
        <v>0</v>
      </c>
      <c r="H32" s="542">
        <f t="shared" si="1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customHeight="1" x14ac:dyDescent="0.25">
      <c r="A33" s="531"/>
      <c r="B33" s="535"/>
      <c r="C33" s="531"/>
      <c r="D33" s="542"/>
      <c r="E33" s="535"/>
      <c r="F33" s="542"/>
      <c r="G33" s="535">
        <f t="shared" ref="G33:G64" si="3">E33-C33</f>
        <v>0</v>
      </c>
      <c r="H33" s="542">
        <f t="shared" ref="H33:H64" si="4">F33-D33</f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hidden="1" customHeight="1" x14ac:dyDescent="0.25">
      <c r="A34" s="530"/>
      <c r="B34" s="535"/>
      <c r="C34" s="531"/>
      <c r="D34" s="542"/>
      <c r="E34" s="535"/>
      <c r="F34" s="542"/>
      <c r="G34" s="535">
        <f t="shared" si="3"/>
        <v>0</v>
      </c>
      <c r="H34" s="542">
        <f t="shared" si="4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hidden="1" customHeight="1" x14ac:dyDescent="0.25">
      <c r="A35" s="530"/>
      <c r="B35" s="535"/>
      <c r="C35" s="531"/>
      <c r="D35" s="542"/>
      <c r="E35" s="535"/>
      <c r="F35" s="542"/>
      <c r="G35" s="535">
        <f t="shared" si="3"/>
        <v>0</v>
      </c>
      <c r="H35" s="542">
        <f t="shared" si="4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hidden="1" customHeight="1" x14ac:dyDescent="0.25">
      <c r="A36" s="530"/>
      <c r="B36" s="535"/>
      <c r="C36" s="531"/>
      <c r="D36" s="542"/>
      <c r="E36" s="535"/>
      <c r="F36" s="542"/>
      <c r="G36" s="535">
        <f t="shared" si="3"/>
        <v>0</v>
      </c>
      <c r="H36" s="542">
        <f t="shared" si="4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4.45" hidden="1" customHeight="1" x14ac:dyDescent="0.25">
      <c r="A37" s="530"/>
      <c r="B37" s="535"/>
      <c r="C37" s="531"/>
      <c r="D37" s="542"/>
      <c r="E37" s="535"/>
      <c r="F37" s="542"/>
      <c r="G37" s="535">
        <f t="shared" si="3"/>
        <v>0</v>
      </c>
      <c r="H37" s="542">
        <f t="shared" si="4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ref="Z37:Z64" si="5">SUM(K37:Y37)</f>
        <v>0</v>
      </c>
    </row>
    <row r="38" spans="1:26" ht="14.45" hidden="1" customHeight="1" x14ac:dyDescent="0.25">
      <c r="A38" s="530"/>
      <c r="B38" s="535"/>
      <c r="C38" s="531"/>
      <c r="D38" s="542"/>
      <c r="E38" s="535"/>
      <c r="F38" s="542"/>
      <c r="G38" s="535">
        <f t="shared" si="3"/>
        <v>0</v>
      </c>
      <c r="H38" s="542">
        <f t="shared" si="4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5"/>
        <v>0</v>
      </c>
    </row>
    <row r="39" spans="1:26" ht="15" hidden="1" customHeight="1" x14ac:dyDescent="0.25">
      <c r="A39" s="530"/>
      <c r="B39" s="535"/>
      <c r="C39" s="531"/>
      <c r="D39" s="542"/>
      <c r="E39" s="535"/>
      <c r="F39" s="542"/>
      <c r="G39" s="535">
        <f t="shared" si="3"/>
        <v>0</v>
      </c>
      <c r="H39" s="542">
        <f t="shared" si="4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5"/>
        <v>0</v>
      </c>
    </row>
    <row r="40" spans="1:26" ht="15" hidden="1" customHeight="1" x14ac:dyDescent="0.25">
      <c r="A40" s="530"/>
      <c r="B40" s="535"/>
      <c r="C40" s="531"/>
      <c r="D40" s="542"/>
      <c r="E40" s="535"/>
      <c r="F40" s="542"/>
      <c r="G40" s="535">
        <f t="shared" si="3"/>
        <v>0</v>
      </c>
      <c r="H40" s="542">
        <f t="shared" si="4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5"/>
        <v>0</v>
      </c>
    </row>
    <row r="41" spans="1:26" ht="15" hidden="1" customHeight="1" x14ac:dyDescent="0.25">
      <c r="A41" s="530"/>
      <c r="B41" s="535"/>
      <c r="C41" s="531"/>
      <c r="D41" s="542"/>
      <c r="E41" s="535"/>
      <c r="F41" s="542"/>
      <c r="G41" s="535">
        <f t="shared" si="3"/>
        <v>0</v>
      </c>
      <c r="H41" s="542">
        <f t="shared" si="4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5"/>
        <v>0</v>
      </c>
    </row>
    <row r="42" spans="1:26" ht="15" hidden="1" customHeight="1" x14ac:dyDescent="0.25">
      <c r="A42" s="530"/>
      <c r="B42" s="535"/>
      <c r="C42" s="531"/>
      <c r="D42" s="542"/>
      <c r="E42" s="535"/>
      <c r="F42" s="542"/>
      <c r="G42" s="535">
        <f t="shared" si="3"/>
        <v>0</v>
      </c>
      <c r="H42" s="542">
        <f t="shared" si="4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5"/>
        <v>0</v>
      </c>
    </row>
    <row r="43" spans="1:26" ht="15" hidden="1" customHeight="1" x14ac:dyDescent="0.25">
      <c r="A43" s="530"/>
      <c r="B43" s="535"/>
      <c r="C43" s="531"/>
      <c r="D43" s="542"/>
      <c r="E43" s="535"/>
      <c r="F43" s="542"/>
      <c r="G43" s="535">
        <f t="shared" si="3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5"/>
        <v>0</v>
      </c>
    </row>
    <row r="44" spans="1:26" ht="15" hidden="1" customHeight="1" x14ac:dyDescent="0.25">
      <c r="A44" s="537"/>
      <c r="B44" s="535"/>
      <c r="C44" s="531"/>
      <c r="D44" s="542"/>
      <c r="E44" s="535"/>
      <c r="F44" s="542"/>
      <c r="G44" s="535">
        <f t="shared" si="3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5"/>
        <v>0</v>
      </c>
    </row>
    <row r="45" spans="1:26" ht="15" hidden="1" customHeight="1" x14ac:dyDescent="0.25">
      <c r="A45" s="531"/>
      <c r="B45" s="535"/>
      <c r="C45" s="531"/>
      <c r="D45" s="542"/>
      <c r="E45" s="535"/>
      <c r="F45" s="542"/>
      <c r="G45" s="535">
        <f t="shared" si="3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5"/>
        <v>0</v>
      </c>
    </row>
    <row r="46" spans="1:26" ht="15" hidden="1" customHeight="1" x14ac:dyDescent="0.25">
      <c r="A46" s="530"/>
      <c r="B46" s="535"/>
      <c r="C46" s="530"/>
      <c r="D46" s="542"/>
      <c r="E46" s="535"/>
      <c r="F46" s="542"/>
      <c r="G46" s="535">
        <f t="shared" si="3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5"/>
        <v>0</v>
      </c>
    </row>
    <row r="47" spans="1:26" ht="15" hidden="1" customHeight="1" x14ac:dyDescent="0.25">
      <c r="A47" s="530"/>
      <c r="B47" s="535"/>
      <c r="C47" s="530"/>
      <c r="D47" s="542"/>
      <c r="E47" s="535"/>
      <c r="F47" s="542"/>
      <c r="G47" s="535">
        <f t="shared" si="3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5"/>
        <v>0</v>
      </c>
    </row>
    <row r="48" spans="1:26" ht="15" hidden="1" customHeight="1" x14ac:dyDescent="0.25">
      <c r="A48" s="530"/>
      <c r="B48" s="535"/>
      <c r="C48" s="530"/>
      <c r="D48" s="542"/>
      <c r="E48" s="535"/>
      <c r="F48" s="542"/>
      <c r="G48" s="535">
        <f t="shared" si="3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5"/>
        <v>0</v>
      </c>
    </row>
    <row r="49" spans="1:26" ht="15" hidden="1" customHeight="1" x14ac:dyDescent="0.25">
      <c r="A49" s="530"/>
      <c r="B49" s="535"/>
      <c r="C49" s="530"/>
      <c r="D49" s="542"/>
      <c r="E49" s="535"/>
      <c r="F49" s="542"/>
      <c r="G49" s="535">
        <f t="shared" si="3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5"/>
        <v>0</v>
      </c>
    </row>
    <row r="50" spans="1:26" ht="15" hidden="1" customHeight="1" x14ac:dyDescent="0.25">
      <c r="A50" s="530"/>
      <c r="B50" s="535"/>
      <c r="C50" s="530"/>
      <c r="D50" s="542"/>
      <c r="E50" s="535"/>
      <c r="F50" s="542"/>
      <c r="G50" s="535">
        <f t="shared" si="3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5"/>
        <v>0</v>
      </c>
    </row>
    <row r="51" spans="1:26" ht="15" hidden="1" customHeight="1" x14ac:dyDescent="0.25">
      <c r="A51" s="530"/>
      <c r="B51" s="535"/>
      <c r="C51" s="530"/>
      <c r="D51" s="542"/>
      <c r="E51" s="535"/>
      <c r="F51" s="542"/>
      <c r="G51" s="535">
        <f t="shared" si="3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5"/>
        <v>0</v>
      </c>
    </row>
    <row r="52" spans="1:26" ht="15" hidden="1" customHeight="1" x14ac:dyDescent="0.25">
      <c r="A52" s="530"/>
      <c r="B52" s="535"/>
      <c r="C52" s="530"/>
      <c r="D52" s="542"/>
      <c r="E52" s="535"/>
      <c r="F52" s="542"/>
      <c r="G52" s="535">
        <f t="shared" si="3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5"/>
        <v>0</v>
      </c>
    </row>
    <row r="53" spans="1:26" ht="15" hidden="1" customHeight="1" x14ac:dyDescent="0.25">
      <c r="A53" s="530"/>
      <c r="B53" s="535"/>
      <c r="C53" s="531"/>
      <c r="D53" s="542"/>
      <c r="E53" s="535"/>
      <c r="F53" s="542"/>
      <c r="G53" s="535">
        <f t="shared" si="3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5"/>
        <v>0</v>
      </c>
    </row>
    <row r="54" spans="1:26" ht="15" hidden="1" customHeight="1" x14ac:dyDescent="0.25">
      <c r="A54" s="530"/>
      <c r="B54" s="535"/>
      <c r="C54" s="531"/>
      <c r="D54" s="542"/>
      <c r="E54" s="535"/>
      <c r="F54" s="542"/>
      <c r="G54" s="535">
        <f t="shared" si="3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5"/>
        <v>0</v>
      </c>
    </row>
    <row r="55" spans="1:26" ht="15" hidden="1" customHeight="1" x14ac:dyDescent="0.25">
      <c r="A55" s="530"/>
      <c r="B55" s="535"/>
      <c r="C55" s="531"/>
      <c r="D55" s="542"/>
      <c r="E55" s="535"/>
      <c r="F55" s="542"/>
      <c r="G55" s="535">
        <f t="shared" si="3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5"/>
        <v>0</v>
      </c>
    </row>
    <row r="56" spans="1:26" ht="15" hidden="1" customHeight="1" x14ac:dyDescent="0.25">
      <c r="A56" s="530"/>
      <c r="B56" s="535"/>
      <c r="C56" s="531"/>
      <c r="D56" s="542"/>
      <c r="E56" s="535"/>
      <c r="F56" s="542"/>
      <c r="G56" s="535">
        <f t="shared" si="3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5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3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5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3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5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3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5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3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5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3"/>
        <v>0</v>
      </c>
      <c r="H61" s="542">
        <f t="shared" si="4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5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3"/>
        <v>0</v>
      </c>
      <c r="H62" s="542">
        <f t="shared" si="4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5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3"/>
        <v>0</v>
      </c>
      <c r="H63" s="542">
        <f t="shared" si="4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5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3"/>
        <v>0</v>
      </c>
      <c r="H64" s="542">
        <f t="shared" si="4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5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ref="G65:G79" si="6">E65-C65</f>
        <v>0</v>
      </c>
      <c r="H65" s="542">
        <f t="shared" ref="H65:H79" si="7">F65-D65</f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ref="Z65:Z79" si="8">SUM(K65:Y65)</f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6"/>
        <v>0</v>
      </c>
      <c r="H66" s="542">
        <f t="shared" si="7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8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6"/>
        <v>0</v>
      </c>
      <c r="H67" s="542">
        <f t="shared" si="7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8"/>
        <v>0</v>
      </c>
    </row>
    <row r="68" spans="1:26" ht="15" hidden="1" customHeight="1" x14ac:dyDescent="0.25">
      <c r="A68" s="534"/>
      <c r="B68" s="535"/>
      <c r="C68" s="531"/>
      <c r="D68" s="542"/>
      <c r="E68" s="535"/>
      <c r="F68" s="542"/>
      <c r="G68" s="535">
        <f t="shared" si="6"/>
        <v>0</v>
      </c>
      <c r="H68" s="542">
        <f t="shared" si="7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8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si="6"/>
        <v>0</v>
      </c>
      <c r="H69" s="542">
        <f t="shared" si="7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8"/>
        <v>0</v>
      </c>
    </row>
    <row r="70" spans="1:26" ht="15" hidden="1" customHeight="1" x14ac:dyDescent="0.25">
      <c r="A70" s="534"/>
      <c r="B70" s="535"/>
      <c r="C70" s="531"/>
      <c r="D70" s="542"/>
      <c r="E70" s="535"/>
      <c r="F70" s="542"/>
      <c r="G70" s="535">
        <f t="shared" si="6"/>
        <v>0</v>
      </c>
      <c r="H70" s="542">
        <f t="shared" si="7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8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6"/>
        <v>0</v>
      </c>
      <c r="H71" s="542">
        <f t="shared" si="7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8"/>
        <v>0</v>
      </c>
    </row>
    <row r="72" spans="1:26" ht="15" hidden="1" customHeight="1" x14ac:dyDescent="0.25">
      <c r="A72" s="533"/>
      <c r="B72" s="535"/>
      <c r="C72" s="531"/>
      <c r="D72" s="542"/>
      <c r="E72" s="535"/>
      <c r="F72" s="542"/>
      <c r="G72" s="535">
        <f t="shared" si="6"/>
        <v>0</v>
      </c>
      <c r="H72" s="542">
        <f t="shared" si="7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8"/>
        <v>0</v>
      </c>
    </row>
    <row r="73" spans="1:26" ht="15" hidden="1" customHeight="1" x14ac:dyDescent="0.25">
      <c r="A73" s="530"/>
      <c r="B73" s="535"/>
      <c r="C73" s="531"/>
      <c r="D73" s="542"/>
      <c r="E73" s="535"/>
      <c r="F73" s="542"/>
      <c r="G73" s="535">
        <f t="shared" si="6"/>
        <v>0</v>
      </c>
      <c r="H73" s="542">
        <f t="shared" si="7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8"/>
        <v>0</v>
      </c>
    </row>
    <row r="74" spans="1:26" ht="15" hidden="1" customHeight="1" x14ac:dyDescent="0.25">
      <c r="A74" s="530"/>
      <c r="B74" s="535"/>
      <c r="C74" s="531"/>
      <c r="D74" s="542"/>
      <c r="E74" s="535"/>
      <c r="F74" s="542"/>
      <c r="G74" s="535">
        <f t="shared" si="6"/>
        <v>0</v>
      </c>
      <c r="H74" s="542">
        <f t="shared" si="7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8"/>
        <v>0</v>
      </c>
    </row>
    <row r="75" spans="1:26" ht="15" hidden="1" customHeight="1" x14ac:dyDescent="0.25">
      <c r="A75" s="530"/>
      <c r="B75" s="535"/>
      <c r="C75" s="531"/>
      <c r="D75" s="542"/>
      <c r="E75" s="535"/>
      <c r="F75" s="542"/>
      <c r="G75" s="535">
        <f t="shared" si="6"/>
        <v>0</v>
      </c>
      <c r="H75" s="542">
        <f t="shared" si="7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8"/>
        <v>0</v>
      </c>
    </row>
    <row r="76" spans="1:26" ht="15" hidden="1" customHeight="1" x14ac:dyDescent="0.25">
      <c r="A76" s="538"/>
      <c r="B76" s="535"/>
      <c r="C76" s="535"/>
      <c r="D76" s="542"/>
      <c r="E76" s="535"/>
      <c r="F76" s="542"/>
      <c r="G76" s="535">
        <f t="shared" si="6"/>
        <v>0</v>
      </c>
      <c r="H76" s="542">
        <f t="shared" si="7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8"/>
        <v>0</v>
      </c>
    </row>
    <row r="77" spans="1:26" ht="15" hidden="1" customHeight="1" x14ac:dyDescent="0.25">
      <c r="A77" s="535"/>
      <c r="B77" s="535"/>
      <c r="C77" s="535"/>
      <c r="D77" s="542"/>
      <c r="E77" s="535"/>
      <c r="F77" s="542"/>
      <c r="G77" s="535">
        <f t="shared" si="6"/>
        <v>0</v>
      </c>
      <c r="H77" s="542">
        <f t="shared" si="7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8"/>
        <v>0</v>
      </c>
    </row>
    <row r="78" spans="1:26" ht="15" hidden="1" customHeight="1" x14ac:dyDescent="0.25">
      <c r="A78" s="535"/>
      <c r="B78" s="535"/>
      <c r="C78" s="535"/>
      <c r="D78" s="542"/>
      <c r="E78" s="535"/>
      <c r="F78" s="542"/>
      <c r="G78" s="535">
        <f t="shared" si="6"/>
        <v>0</v>
      </c>
      <c r="H78" s="542">
        <f t="shared" si="7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8"/>
        <v>0</v>
      </c>
    </row>
    <row r="79" spans="1:26" ht="15" hidden="1" customHeight="1" x14ac:dyDescent="0.25">
      <c r="A79" s="535"/>
      <c r="B79" s="535"/>
      <c r="C79" s="535"/>
      <c r="D79" s="542"/>
      <c r="E79" s="535"/>
      <c r="F79" s="542"/>
      <c r="G79" s="535">
        <f t="shared" si="6"/>
        <v>0</v>
      </c>
      <c r="H79" s="542">
        <f t="shared" si="7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8"/>
        <v>0</v>
      </c>
    </row>
    <row r="80" spans="1:26" ht="15" customHeight="1" x14ac:dyDescent="0.25">
      <c r="A80" s="443" t="s">
        <v>1221</v>
      </c>
      <c r="B80" s="444"/>
      <c r="C80" s="447">
        <f t="shared" ref="C80:Z80" si="9">SUM(C5:C79)</f>
        <v>94</v>
      </c>
      <c r="D80" s="448">
        <f t="shared" si="9"/>
        <v>148864.75</v>
      </c>
      <c r="E80" s="447">
        <f t="shared" si="9"/>
        <v>94</v>
      </c>
      <c r="F80" s="448">
        <f t="shared" si="9"/>
        <v>152553.5</v>
      </c>
      <c r="G80" s="447">
        <f t="shared" si="9"/>
        <v>0</v>
      </c>
      <c r="H80" s="448">
        <f t="shared" si="9"/>
        <v>3688.7500000000018</v>
      </c>
      <c r="I80" s="448">
        <f t="shared" si="9"/>
        <v>0</v>
      </c>
      <c r="J80" s="447">
        <f t="shared" si="9"/>
        <v>54400.160000000003</v>
      </c>
      <c r="K80" s="448">
        <f t="shared" si="9"/>
        <v>0</v>
      </c>
      <c r="L80" s="447">
        <f t="shared" si="9"/>
        <v>0</v>
      </c>
      <c r="M80" s="447">
        <f t="shared" si="9"/>
        <v>0</v>
      </c>
      <c r="N80" s="447">
        <f t="shared" si="9"/>
        <v>0</v>
      </c>
      <c r="O80" s="447">
        <f t="shared" si="9"/>
        <v>0</v>
      </c>
      <c r="P80" s="447">
        <f t="shared" si="9"/>
        <v>0</v>
      </c>
      <c r="Q80" s="447">
        <f t="shared" si="9"/>
        <v>0</v>
      </c>
      <c r="R80" s="447">
        <f t="shared" si="9"/>
        <v>0</v>
      </c>
      <c r="S80" s="447">
        <f t="shared" si="9"/>
        <v>0</v>
      </c>
      <c r="T80" s="447">
        <f t="shared" si="9"/>
        <v>0</v>
      </c>
      <c r="U80" s="447">
        <f t="shared" si="9"/>
        <v>0</v>
      </c>
      <c r="V80" s="447">
        <f t="shared" si="9"/>
        <v>0</v>
      </c>
      <c r="W80" s="447">
        <f t="shared" si="9"/>
        <v>0</v>
      </c>
      <c r="X80" s="447">
        <f t="shared" si="9"/>
        <v>0</v>
      </c>
      <c r="Y80" s="447">
        <f t="shared" si="9"/>
        <v>0</v>
      </c>
      <c r="Z80" s="447">
        <f t="shared" si="9"/>
        <v>0</v>
      </c>
    </row>
    <row r="82" spans="1:26" x14ac:dyDescent="0.25">
      <c r="A82" s="739" t="s">
        <v>1227</v>
      </c>
      <c r="B82" s="739"/>
    </row>
    <row r="83" spans="1:26" ht="30" x14ac:dyDescent="0.25">
      <c r="A83" s="547" t="s">
        <v>1</v>
      </c>
      <c r="B83" s="547"/>
      <c r="C83" s="548" t="s">
        <v>1222</v>
      </c>
      <c r="D83" s="548" t="s">
        <v>1223</v>
      </c>
      <c r="E83" s="548" t="s">
        <v>392</v>
      </c>
      <c r="F83" s="549" t="s">
        <v>2</v>
      </c>
      <c r="G83" s="550" t="s">
        <v>1225</v>
      </c>
      <c r="H83" s="551" t="s">
        <v>1224</v>
      </c>
      <c r="I83" s="551" t="s">
        <v>1498</v>
      </c>
      <c r="J83" s="551" t="s">
        <v>94</v>
      </c>
      <c r="K83" s="552" t="s">
        <v>681</v>
      </c>
      <c r="L83" s="552" t="s">
        <v>1496</v>
      </c>
      <c r="M83" s="552" t="s">
        <v>1497</v>
      </c>
      <c r="N83" s="552" t="s">
        <v>682</v>
      </c>
      <c r="O83" s="552" t="s">
        <v>683</v>
      </c>
      <c r="P83" s="552" t="s">
        <v>87</v>
      </c>
      <c r="Q83" s="552" t="s">
        <v>684</v>
      </c>
      <c r="R83" s="552" t="s">
        <v>685</v>
      </c>
      <c r="S83" s="552" t="s">
        <v>690</v>
      </c>
      <c r="T83" s="552" t="s">
        <v>686</v>
      </c>
      <c r="U83" s="552" t="s">
        <v>687</v>
      </c>
      <c r="V83" s="552" t="s">
        <v>688</v>
      </c>
      <c r="W83" s="552" t="s">
        <v>689</v>
      </c>
      <c r="X83" s="552" t="s">
        <v>138</v>
      </c>
      <c r="Y83" s="552" t="s">
        <v>1385</v>
      </c>
      <c r="Z83" s="552" t="s">
        <v>1238</v>
      </c>
    </row>
    <row r="84" spans="1:26" s="535" customFormat="1" x14ac:dyDescent="0.25">
      <c r="A84" s="535" t="s">
        <v>1623</v>
      </c>
      <c r="B84" s="535" t="s">
        <v>100</v>
      </c>
      <c r="C84" s="506">
        <v>42391</v>
      </c>
      <c r="D84" s="506">
        <v>42613</v>
      </c>
      <c r="E84" s="535">
        <v>219</v>
      </c>
      <c r="F84" s="506">
        <v>42614</v>
      </c>
      <c r="G84" s="531">
        <v>4</v>
      </c>
      <c r="H84" s="539">
        <v>6293</v>
      </c>
      <c r="I84" s="539">
        <v>2500</v>
      </c>
      <c r="J84" s="539">
        <v>657</v>
      </c>
      <c r="P84" s="535">
        <v>1</v>
      </c>
      <c r="W84" s="535">
        <v>1</v>
      </c>
      <c r="X84" s="535">
        <v>1</v>
      </c>
      <c r="Y84" s="535">
        <v>1</v>
      </c>
      <c r="Z84" s="535">
        <f>SUM(K84:Y84)</f>
        <v>4</v>
      </c>
    </row>
    <row r="85" spans="1:26" ht="15" customHeight="1" x14ac:dyDescent="0.25">
      <c r="A85" s="538" t="s">
        <v>1628</v>
      </c>
      <c r="B85" s="535" t="s">
        <v>100</v>
      </c>
      <c r="C85" s="487">
        <v>42375</v>
      </c>
      <c r="D85" s="488">
        <v>42614</v>
      </c>
      <c r="E85" s="486">
        <v>235</v>
      </c>
      <c r="F85" s="488">
        <v>42614</v>
      </c>
      <c r="G85" s="486">
        <v>3</v>
      </c>
      <c r="H85" s="539">
        <v>4785</v>
      </c>
      <c r="I85" s="554">
        <v>5000</v>
      </c>
      <c r="J85" s="554">
        <v>1914</v>
      </c>
      <c r="K85" s="496">
        <v>1</v>
      </c>
      <c r="L85" s="496"/>
      <c r="M85" s="496"/>
      <c r="N85" s="496"/>
      <c r="O85" s="496"/>
      <c r="P85" s="496"/>
      <c r="Q85" s="496"/>
      <c r="R85" s="496"/>
      <c r="S85" s="496">
        <v>1</v>
      </c>
      <c r="T85" s="496"/>
      <c r="U85" s="496"/>
      <c r="V85" s="496">
        <v>1</v>
      </c>
      <c r="W85" s="496"/>
      <c r="X85" s="496"/>
      <c r="Y85" s="496"/>
      <c r="Z85" s="496">
        <f t="shared" ref="Z85:Z91" si="10">SUM(K85:Y85)</f>
        <v>3</v>
      </c>
    </row>
    <row r="86" spans="1:26" ht="15" customHeight="1" x14ac:dyDescent="0.25">
      <c r="A86" s="538" t="s">
        <v>1631</v>
      </c>
      <c r="B86" s="535" t="s">
        <v>115</v>
      </c>
      <c r="C86" s="487">
        <v>42572</v>
      </c>
      <c r="D86" s="488">
        <v>42615</v>
      </c>
      <c r="E86" s="486">
        <v>41</v>
      </c>
      <c r="F86" s="488">
        <v>42613</v>
      </c>
      <c r="G86" s="486">
        <v>7</v>
      </c>
      <c r="H86" s="539">
        <f>11501</f>
        <v>11501</v>
      </c>
      <c r="I86" s="539">
        <v>5000</v>
      </c>
      <c r="J86" s="539">
        <v>4600</v>
      </c>
      <c r="K86" s="535">
        <v>1</v>
      </c>
      <c r="L86" s="535">
        <v>1</v>
      </c>
      <c r="M86" s="535">
        <v>1</v>
      </c>
      <c r="N86" s="535">
        <v>1</v>
      </c>
      <c r="O86" s="535">
        <v>1</v>
      </c>
      <c r="P86" s="535"/>
      <c r="Q86" s="535">
        <v>1</v>
      </c>
      <c r="R86" s="535"/>
      <c r="S86" s="535">
        <v>1</v>
      </c>
      <c r="T86" s="535"/>
      <c r="U86" s="535"/>
      <c r="V86" s="535"/>
      <c r="W86" s="535"/>
      <c r="X86" s="535"/>
      <c r="Y86" s="535"/>
      <c r="Z86" s="535">
        <f t="shared" si="10"/>
        <v>7</v>
      </c>
    </row>
    <row r="87" spans="1:26" ht="29.45" customHeight="1" x14ac:dyDescent="0.25">
      <c r="A87" s="538" t="s">
        <v>1637</v>
      </c>
      <c r="B87" s="535" t="s">
        <v>115</v>
      </c>
      <c r="C87" s="487">
        <v>42586</v>
      </c>
      <c r="D87" s="488">
        <v>42641</v>
      </c>
      <c r="E87" s="486">
        <v>54</v>
      </c>
      <c r="F87" s="488">
        <v>42587</v>
      </c>
      <c r="G87" s="486">
        <v>2</v>
      </c>
      <c r="H87" s="539">
        <v>5120</v>
      </c>
      <c r="I87" s="539">
        <v>5000</v>
      </c>
      <c r="J87" s="539">
        <v>2048</v>
      </c>
      <c r="K87" s="535">
        <v>1</v>
      </c>
      <c r="L87" s="535"/>
      <c r="M87" s="535"/>
      <c r="N87" s="535"/>
      <c r="O87" s="535"/>
      <c r="P87" s="535"/>
      <c r="Q87" s="535">
        <v>1</v>
      </c>
      <c r="R87" s="535"/>
      <c r="S87" s="535"/>
      <c r="T87" s="535"/>
      <c r="U87" s="535"/>
      <c r="V87" s="535"/>
      <c r="W87" s="535"/>
      <c r="X87" s="535"/>
      <c r="Y87" s="535"/>
      <c r="Z87" s="535">
        <f t="shared" si="10"/>
        <v>2</v>
      </c>
    </row>
    <row r="88" spans="1:26" ht="15" customHeight="1" x14ac:dyDescent="0.25">
      <c r="A88" s="538" t="s">
        <v>1641</v>
      </c>
      <c r="B88" s="535" t="s">
        <v>115</v>
      </c>
      <c r="C88" s="487">
        <v>42621</v>
      </c>
      <c r="D88" s="488">
        <v>42643</v>
      </c>
      <c r="E88" s="486">
        <v>22</v>
      </c>
      <c r="F88" s="488">
        <v>42642</v>
      </c>
      <c r="G88" s="486">
        <v>5</v>
      </c>
      <c r="H88" s="539">
        <f>8215+2200</f>
        <v>10415</v>
      </c>
      <c r="I88" s="539">
        <f>5000+2800</f>
        <v>7800</v>
      </c>
      <c r="J88" s="539">
        <v>3286</v>
      </c>
      <c r="K88" s="535">
        <v>1</v>
      </c>
      <c r="L88" s="535"/>
      <c r="M88" s="535"/>
      <c r="N88" s="535">
        <v>1</v>
      </c>
      <c r="O88" s="535">
        <v>1</v>
      </c>
      <c r="P88" s="535">
        <v>1</v>
      </c>
      <c r="Q88" s="535"/>
      <c r="R88" s="535"/>
      <c r="S88" s="535">
        <v>1</v>
      </c>
      <c r="T88" s="535"/>
      <c r="U88" s="535"/>
      <c r="V88" s="535"/>
      <c r="W88" s="535"/>
      <c r="X88" s="535"/>
      <c r="Y88" s="535"/>
      <c r="Z88" s="535">
        <f t="shared" si="10"/>
        <v>5</v>
      </c>
    </row>
    <row r="89" spans="1:26" ht="15" customHeight="1" x14ac:dyDescent="0.25">
      <c r="A89" s="538"/>
      <c r="B89" s="535"/>
      <c r="C89" s="487"/>
      <c r="D89" s="488"/>
      <c r="E89" s="486"/>
      <c r="F89" s="488"/>
      <c r="G89" s="486"/>
      <c r="H89" s="539"/>
      <c r="I89" s="539"/>
      <c r="J89" s="539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>
        <f t="shared" si="10"/>
        <v>0</v>
      </c>
    </row>
    <row r="90" spans="1:26" ht="15" customHeight="1" x14ac:dyDescent="0.25">
      <c r="A90" s="538"/>
      <c r="B90" s="535"/>
      <c r="C90" s="487"/>
      <c r="D90" s="488"/>
      <c r="E90" s="486"/>
      <c r="F90" s="488"/>
      <c r="G90" s="486"/>
      <c r="H90" s="539"/>
      <c r="I90" s="456"/>
      <c r="J90" s="456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>
        <f t="shared" si="10"/>
        <v>0</v>
      </c>
    </row>
    <row r="91" spans="1:26" ht="15" customHeight="1" x14ac:dyDescent="0.25">
      <c r="A91" s="538"/>
      <c r="B91" s="535"/>
      <c r="C91" s="487"/>
      <c r="D91" s="488"/>
      <c r="E91" s="486"/>
      <c r="F91" s="488"/>
      <c r="G91" s="486"/>
      <c r="H91" s="539"/>
      <c r="I91" s="456"/>
      <c r="J91" s="456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>
        <f t="shared" si="10"/>
        <v>0</v>
      </c>
    </row>
    <row r="92" spans="1:26" ht="15" customHeight="1" x14ac:dyDescent="0.25">
      <c r="A92" s="443" t="s">
        <v>1226</v>
      </c>
      <c r="B92" s="444"/>
      <c r="C92" s="445"/>
      <c r="D92" s="446"/>
      <c r="E92" s="447"/>
      <c r="F92" s="446"/>
      <c r="G92" s="447">
        <f>SUM(G84:G91)</f>
        <v>21</v>
      </c>
      <c r="H92" s="448">
        <f>SUM(H84:H91)</f>
        <v>38114</v>
      </c>
      <c r="I92" s="448">
        <f>SUM(G92:H92)</f>
        <v>38135</v>
      </c>
      <c r="J92" s="448">
        <f>SUM(J84:J91)</f>
        <v>12505</v>
      </c>
      <c r="K92" s="447">
        <f>SUM(K84:K91)</f>
        <v>4</v>
      </c>
      <c r="L92" s="447">
        <f t="shared" ref="L92:Z92" si="11">SUM(L84:L91)</f>
        <v>1</v>
      </c>
      <c r="M92" s="447">
        <f t="shared" si="11"/>
        <v>1</v>
      </c>
      <c r="N92" s="447">
        <f t="shared" si="11"/>
        <v>2</v>
      </c>
      <c r="O92" s="447">
        <f t="shared" si="11"/>
        <v>2</v>
      </c>
      <c r="P92" s="447">
        <f t="shared" si="11"/>
        <v>2</v>
      </c>
      <c r="Q92" s="447">
        <f t="shared" si="11"/>
        <v>2</v>
      </c>
      <c r="R92" s="447">
        <f t="shared" si="11"/>
        <v>0</v>
      </c>
      <c r="S92" s="447">
        <f t="shared" si="11"/>
        <v>3</v>
      </c>
      <c r="T92" s="447">
        <f t="shared" si="11"/>
        <v>0</v>
      </c>
      <c r="U92" s="447">
        <f t="shared" si="11"/>
        <v>0</v>
      </c>
      <c r="V92" s="447">
        <f t="shared" si="11"/>
        <v>1</v>
      </c>
      <c r="W92" s="447">
        <f t="shared" si="11"/>
        <v>1</v>
      </c>
      <c r="X92" s="447">
        <f t="shared" si="11"/>
        <v>1</v>
      </c>
      <c r="Y92" s="447">
        <f t="shared" si="11"/>
        <v>1</v>
      </c>
      <c r="Z92" s="447">
        <f t="shared" si="11"/>
        <v>21</v>
      </c>
    </row>
    <row r="93" spans="1:26" ht="15" customHeight="1" x14ac:dyDescent="0.25">
      <c r="A93" s="428"/>
      <c r="B93" s="422"/>
      <c r="C93" s="422"/>
      <c r="D93" s="429"/>
      <c r="E93" s="422"/>
      <c r="F93" s="429"/>
      <c r="G93" s="433"/>
      <c r="H93" s="422"/>
      <c r="I93" s="422"/>
      <c r="J93" s="422"/>
    </row>
    <row r="94" spans="1:26" x14ac:dyDescent="0.25">
      <c r="A94" s="739" t="s">
        <v>1228</v>
      </c>
      <c r="B94" s="739"/>
      <c r="G94" s="420"/>
    </row>
    <row r="95" spans="1:26" ht="30" x14ac:dyDescent="0.25">
      <c r="A95" s="558" t="s">
        <v>1</v>
      </c>
      <c r="B95" s="558" t="s">
        <v>59</v>
      </c>
      <c r="C95" s="425" t="s">
        <v>1222</v>
      </c>
      <c r="D95" s="425" t="s">
        <v>1223</v>
      </c>
      <c r="E95" s="425" t="s">
        <v>392</v>
      </c>
      <c r="F95" s="426" t="s">
        <v>2</v>
      </c>
      <c r="G95" s="432" t="s">
        <v>1225</v>
      </c>
      <c r="H95" s="427" t="s">
        <v>1224</v>
      </c>
      <c r="I95" s="427" t="s">
        <v>1498</v>
      </c>
      <c r="J95" s="427" t="s">
        <v>94</v>
      </c>
      <c r="K95" s="424" t="s">
        <v>681</v>
      </c>
      <c r="L95" s="424" t="s">
        <v>1496</v>
      </c>
      <c r="M95" s="424" t="s">
        <v>1497</v>
      </c>
      <c r="N95" s="424" t="s">
        <v>682</v>
      </c>
      <c r="O95" s="424" t="s">
        <v>683</v>
      </c>
      <c r="P95" s="424" t="s">
        <v>87</v>
      </c>
      <c r="Q95" s="424" t="s">
        <v>684</v>
      </c>
      <c r="R95" s="424" t="s">
        <v>685</v>
      </c>
      <c r="S95" s="424" t="s">
        <v>690</v>
      </c>
      <c r="T95" s="424" t="s">
        <v>686</v>
      </c>
      <c r="U95" s="424" t="s">
        <v>687</v>
      </c>
      <c r="V95" s="424" t="s">
        <v>688</v>
      </c>
      <c r="W95" s="424" t="s">
        <v>689</v>
      </c>
      <c r="X95" s="424" t="s">
        <v>138</v>
      </c>
      <c r="Y95" s="424" t="s">
        <v>1385</v>
      </c>
      <c r="Z95" s="424" t="s">
        <v>1238</v>
      </c>
    </row>
    <row r="96" spans="1:26" ht="15" customHeight="1" x14ac:dyDescent="0.25">
      <c r="A96" s="538" t="s">
        <v>1148</v>
      </c>
      <c r="B96" s="535" t="s">
        <v>100</v>
      </c>
      <c r="C96" s="487">
        <v>42536</v>
      </c>
      <c r="D96" s="488">
        <v>42572</v>
      </c>
      <c r="E96" s="486">
        <v>65</v>
      </c>
      <c r="F96" s="488">
        <v>42614</v>
      </c>
      <c r="G96" s="486">
        <v>1</v>
      </c>
      <c r="H96" s="539">
        <v>2485</v>
      </c>
      <c r="I96" s="456">
        <v>0</v>
      </c>
      <c r="J96" s="456">
        <f>H96*0.4</f>
        <v>994</v>
      </c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>
        <v>1</v>
      </c>
      <c r="W96" s="535"/>
      <c r="X96" s="535"/>
      <c r="Y96" s="535"/>
      <c r="Z96" s="535">
        <f>SUM(K96:Y96)</f>
        <v>1</v>
      </c>
    </row>
    <row r="97" spans="1:26" s="457" customFormat="1" ht="15" customHeight="1" x14ac:dyDescent="0.25">
      <c r="A97" s="538" t="s">
        <v>1633</v>
      </c>
      <c r="B97" s="535" t="s">
        <v>115</v>
      </c>
      <c r="C97" s="487">
        <v>42585</v>
      </c>
      <c r="D97" s="488">
        <v>42615</v>
      </c>
      <c r="E97" s="486">
        <v>29</v>
      </c>
      <c r="F97" s="488">
        <v>42615</v>
      </c>
      <c r="G97" s="486">
        <v>1</v>
      </c>
      <c r="H97" s="539">
        <v>1595</v>
      </c>
      <c r="I97" s="456">
        <v>0</v>
      </c>
      <c r="J97" s="456">
        <v>638</v>
      </c>
      <c r="K97" s="452"/>
      <c r="L97" s="452"/>
      <c r="M97" s="452"/>
      <c r="N97" s="452"/>
      <c r="O97" s="452"/>
      <c r="P97" s="452"/>
      <c r="Q97" s="452"/>
      <c r="R97" s="452"/>
      <c r="S97" s="452">
        <v>1</v>
      </c>
      <c r="T97" s="452"/>
      <c r="U97" s="452"/>
      <c r="V97" s="452"/>
      <c r="W97" s="452"/>
      <c r="X97" s="452"/>
      <c r="Y97" s="452"/>
      <c r="Z97" s="535">
        <f t="shared" ref="Z97:Z103" si="12">SUM(K97:Y97)</f>
        <v>1</v>
      </c>
    </row>
    <row r="98" spans="1:26" s="457" customFormat="1" ht="15" customHeight="1" x14ac:dyDescent="0.25">
      <c r="A98" s="538"/>
      <c r="B98" s="535"/>
      <c r="C98" s="487"/>
      <c r="D98" s="488"/>
      <c r="E98" s="486"/>
      <c r="F98" s="488"/>
      <c r="G98" s="486"/>
      <c r="H98" s="539"/>
      <c r="I98" s="456"/>
      <c r="J98" s="456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535">
        <f t="shared" si="12"/>
        <v>0</v>
      </c>
    </row>
    <row r="99" spans="1:26" s="457" customFormat="1" ht="15" customHeight="1" x14ac:dyDescent="0.25">
      <c r="A99" s="538"/>
      <c r="B99" s="452"/>
      <c r="C99" s="453"/>
      <c r="D99" s="454"/>
      <c r="E99" s="455"/>
      <c r="F99" s="454"/>
      <c r="G99" s="455"/>
      <c r="H99" s="456"/>
      <c r="I99" s="456"/>
      <c r="J99" s="456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535">
        <f t="shared" si="12"/>
        <v>0</v>
      </c>
    </row>
    <row r="100" spans="1:26" s="457" customFormat="1" ht="15" customHeight="1" x14ac:dyDescent="0.25">
      <c r="A100" s="538"/>
      <c r="B100" s="452"/>
      <c r="C100" s="453"/>
      <c r="D100" s="454"/>
      <c r="E100" s="455"/>
      <c r="F100" s="454"/>
      <c r="G100" s="455"/>
      <c r="H100" s="456"/>
      <c r="I100" s="456"/>
      <c r="J100" s="456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535">
        <f t="shared" si="12"/>
        <v>0</v>
      </c>
    </row>
    <row r="101" spans="1:26" s="457" customFormat="1" ht="15" customHeight="1" x14ac:dyDescent="0.25">
      <c r="A101" s="538"/>
      <c r="B101" s="452"/>
      <c r="C101" s="453"/>
      <c r="D101" s="454"/>
      <c r="E101" s="455"/>
      <c r="F101" s="454"/>
      <c r="G101" s="455"/>
      <c r="H101" s="456"/>
      <c r="I101" s="456"/>
      <c r="J101" s="456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535">
        <f t="shared" si="12"/>
        <v>0</v>
      </c>
    </row>
    <row r="102" spans="1:26" s="457" customFormat="1" ht="15" customHeight="1" x14ac:dyDescent="0.25">
      <c r="A102" s="541"/>
      <c r="B102" s="452"/>
      <c r="C102" s="453"/>
      <c r="D102" s="454"/>
      <c r="E102" s="455"/>
      <c r="F102" s="454"/>
      <c r="G102" s="455"/>
      <c r="H102" s="456"/>
      <c r="I102" s="456"/>
      <c r="J102" s="456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535">
        <f t="shared" si="12"/>
        <v>0</v>
      </c>
    </row>
    <row r="103" spans="1:26" s="457" customFormat="1" ht="15" customHeight="1" x14ac:dyDescent="0.25">
      <c r="A103" s="541"/>
      <c r="B103" s="452"/>
      <c r="C103" s="453"/>
      <c r="D103" s="454"/>
      <c r="E103" s="455"/>
      <c r="F103" s="454"/>
      <c r="G103" s="455"/>
      <c r="H103" s="456"/>
      <c r="I103" s="456"/>
      <c r="J103" s="456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535">
        <f t="shared" si="12"/>
        <v>0</v>
      </c>
    </row>
    <row r="104" spans="1:26" ht="15" customHeight="1" x14ac:dyDescent="0.25">
      <c r="A104" s="443" t="s">
        <v>450</v>
      </c>
      <c r="B104" s="444"/>
      <c r="C104" s="445"/>
      <c r="D104" s="446"/>
      <c r="E104" s="447"/>
      <c r="F104" s="446"/>
      <c r="G104" s="447">
        <f t="shared" ref="G104:Z104" si="13">SUM(G96:G103)</f>
        <v>2</v>
      </c>
      <c r="H104" s="448">
        <f t="shared" si="13"/>
        <v>4080</v>
      </c>
      <c r="I104" s="448">
        <f>SUM(I96:I103)</f>
        <v>0</v>
      </c>
      <c r="J104" s="448">
        <f>SUM(J96:J103)</f>
        <v>1632</v>
      </c>
      <c r="K104" s="447">
        <f t="shared" si="13"/>
        <v>0</v>
      </c>
      <c r="L104" s="447">
        <f t="shared" si="13"/>
        <v>0</v>
      </c>
      <c r="M104" s="447">
        <f t="shared" si="13"/>
        <v>0</v>
      </c>
      <c r="N104" s="447">
        <f t="shared" si="13"/>
        <v>0</v>
      </c>
      <c r="O104" s="447">
        <f t="shared" si="13"/>
        <v>0</v>
      </c>
      <c r="P104" s="447">
        <f t="shared" si="13"/>
        <v>0</v>
      </c>
      <c r="Q104" s="447">
        <f t="shared" si="13"/>
        <v>0</v>
      </c>
      <c r="R104" s="447">
        <f t="shared" si="13"/>
        <v>0</v>
      </c>
      <c r="S104" s="447">
        <f t="shared" si="13"/>
        <v>1</v>
      </c>
      <c r="T104" s="447">
        <f t="shared" si="13"/>
        <v>0</v>
      </c>
      <c r="U104" s="447">
        <f t="shared" si="13"/>
        <v>0</v>
      </c>
      <c r="V104" s="447">
        <f t="shared" si="13"/>
        <v>1</v>
      </c>
      <c r="W104" s="447">
        <f t="shared" si="13"/>
        <v>0</v>
      </c>
      <c r="X104" s="447">
        <f t="shared" si="13"/>
        <v>0</v>
      </c>
      <c r="Y104" s="447">
        <f t="shared" si="13"/>
        <v>0</v>
      </c>
      <c r="Z104" s="447">
        <f t="shared" si="13"/>
        <v>2</v>
      </c>
    </row>
    <row r="106" spans="1:26" x14ac:dyDescent="0.25">
      <c r="A106" s="739" t="s">
        <v>1229</v>
      </c>
      <c r="B106" s="739"/>
    </row>
    <row r="107" spans="1:26" ht="30" x14ac:dyDescent="0.25">
      <c r="A107" s="558" t="s">
        <v>1</v>
      </c>
      <c r="B107" s="558" t="s">
        <v>59</v>
      </c>
      <c r="C107" s="425"/>
      <c r="D107" s="425"/>
      <c r="E107" s="425"/>
      <c r="F107" s="426"/>
      <c r="G107" s="432" t="s">
        <v>1225</v>
      </c>
      <c r="H107" s="427" t="s">
        <v>1224</v>
      </c>
      <c r="I107" s="427" t="s">
        <v>1498</v>
      </c>
      <c r="J107" s="427" t="s">
        <v>94</v>
      </c>
      <c r="K107" s="424" t="s">
        <v>681</v>
      </c>
      <c r="L107" s="424" t="s">
        <v>1496</v>
      </c>
      <c r="M107" s="424" t="s">
        <v>1497</v>
      </c>
      <c r="N107" s="424" t="s">
        <v>682</v>
      </c>
      <c r="O107" s="424" t="s">
        <v>683</v>
      </c>
      <c r="P107" s="424" t="s">
        <v>87</v>
      </c>
      <c r="Q107" s="424" t="s">
        <v>684</v>
      </c>
      <c r="R107" s="424" t="s">
        <v>685</v>
      </c>
      <c r="S107" s="424" t="s">
        <v>690</v>
      </c>
      <c r="T107" s="424" t="s">
        <v>686</v>
      </c>
      <c r="U107" s="424" t="s">
        <v>687</v>
      </c>
      <c r="V107" s="424" t="s">
        <v>688</v>
      </c>
      <c r="W107" s="424" t="s">
        <v>689</v>
      </c>
      <c r="X107" s="424" t="s">
        <v>138</v>
      </c>
      <c r="Y107" s="424" t="s">
        <v>1385</v>
      </c>
      <c r="Z107" s="424" t="s">
        <v>1238</v>
      </c>
    </row>
    <row r="108" spans="1:26" s="457" customFormat="1" ht="15" customHeight="1" x14ac:dyDescent="0.25">
      <c r="A108" s="538" t="s">
        <v>1624</v>
      </c>
      <c r="B108" s="535" t="s">
        <v>115</v>
      </c>
      <c r="C108" s="487">
        <v>42565</v>
      </c>
      <c r="D108" s="488">
        <v>42612</v>
      </c>
      <c r="E108" s="486">
        <v>45</v>
      </c>
      <c r="F108" s="488">
        <v>42614</v>
      </c>
      <c r="G108" s="486">
        <v>-2</v>
      </c>
      <c r="H108" s="539">
        <v>-3100</v>
      </c>
      <c r="I108" s="456"/>
      <c r="J108" s="456">
        <f>H108*0.4</f>
        <v>-1240</v>
      </c>
      <c r="K108" s="452"/>
      <c r="L108" s="452">
        <v>-1</v>
      </c>
      <c r="M108" s="452"/>
      <c r="N108" s="452"/>
      <c r="O108" s="452"/>
      <c r="P108" s="452"/>
      <c r="Q108" s="452">
        <v>-1</v>
      </c>
      <c r="R108" s="452"/>
      <c r="S108" s="452"/>
      <c r="T108" s="452"/>
      <c r="U108" s="452"/>
      <c r="V108" s="452"/>
      <c r="W108" s="452"/>
      <c r="X108" s="452"/>
      <c r="Y108" s="452"/>
      <c r="Z108" s="535">
        <f t="shared" ref="Z108:Z110" si="14">SUM(K108:Y108)</f>
        <v>-2</v>
      </c>
    </row>
    <row r="109" spans="1:26" ht="15" customHeight="1" x14ac:dyDescent="0.25">
      <c r="A109" s="419" t="s">
        <v>1634</v>
      </c>
      <c r="B109" s="419" t="s">
        <v>1506</v>
      </c>
      <c r="C109" s="559">
        <v>42597</v>
      </c>
      <c r="D109" s="559">
        <v>42627</v>
      </c>
      <c r="E109" s="419">
        <v>29</v>
      </c>
      <c r="F109" s="559">
        <v>42627</v>
      </c>
      <c r="G109" s="419">
        <v>-5</v>
      </c>
      <c r="H109" s="539">
        <v>-6572</v>
      </c>
      <c r="I109" s="456"/>
      <c r="J109" s="456">
        <f>-3943+1314</f>
        <v>-2629</v>
      </c>
      <c r="K109" s="535"/>
      <c r="L109" s="535">
        <v>-1</v>
      </c>
      <c r="M109" s="535">
        <v>-1</v>
      </c>
      <c r="N109" s="535"/>
      <c r="O109" s="535">
        <v>-1</v>
      </c>
      <c r="P109" s="535"/>
      <c r="Q109" s="535"/>
      <c r="R109" s="535">
        <v>-1</v>
      </c>
      <c r="S109" s="535">
        <v>-1</v>
      </c>
      <c r="T109" s="535"/>
      <c r="U109" s="535"/>
      <c r="V109" s="535"/>
      <c r="W109" s="535"/>
      <c r="X109" s="535"/>
      <c r="Y109" s="535"/>
      <c r="Z109" s="535">
        <f t="shared" si="14"/>
        <v>-5</v>
      </c>
    </row>
    <row r="110" spans="1:26" ht="15" customHeight="1" x14ac:dyDescent="0.25">
      <c r="A110" s="538"/>
      <c r="B110" s="535"/>
      <c r="C110" s="487"/>
      <c r="D110" s="488"/>
      <c r="E110" s="486"/>
      <c r="F110" s="488"/>
      <c r="G110" s="486"/>
      <c r="H110" s="456"/>
      <c r="I110" s="456"/>
      <c r="J110" s="456"/>
      <c r="K110" s="535"/>
      <c r="L110" s="535"/>
      <c r="M110" s="535"/>
      <c r="N110" s="535"/>
      <c r="O110" s="535"/>
      <c r="P110" s="535"/>
      <c r="Q110" s="535"/>
      <c r="R110" s="535"/>
      <c r="S110" s="535"/>
      <c r="T110" s="535"/>
      <c r="U110" s="535"/>
      <c r="V110" s="535"/>
      <c r="W110" s="535"/>
      <c r="X110" s="535"/>
      <c r="Y110" s="535"/>
      <c r="Z110" s="535">
        <f t="shared" si="14"/>
        <v>0</v>
      </c>
    </row>
    <row r="111" spans="1:26" ht="15" customHeight="1" x14ac:dyDescent="0.25">
      <c r="A111" s="443" t="s">
        <v>1230</v>
      </c>
      <c r="B111" s="444"/>
      <c r="C111" s="445"/>
      <c r="D111" s="446"/>
      <c r="E111" s="447"/>
      <c r="F111" s="446"/>
      <c r="G111" s="447">
        <f>SUM(G108:G110)</f>
        <v>-7</v>
      </c>
      <c r="H111" s="448">
        <f>SUM(H108:H110)</f>
        <v>-9672</v>
      </c>
      <c r="I111" s="448">
        <f t="shared" ref="I111:Z111" si="15">SUM(I108:I110)</f>
        <v>0</v>
      </c>
      <c r="J111" s="448">
        <f t="shared" si="15"/>
        <v>-3869</v>
      </c>
      <c r="K111" s="447">
        <f t="shared" si="15"/>
        <v>0</v>
      </c>
      <c r="L111" s="447">
        <f t="shared" si="15"/>
        <v>-2</v>
      </c>
      <c r="M111" s="447">
        <f t="shared" si="15"/>
        <v>-1</v>
      </c>
      <c r="N111" s="447">
        <f t="shared" si="15"/>
        <v>0</v>
      </c>
      <c r="O111" s="447">
        <f t="shared" si="15"/>
        <v>-1</v>
      </c>
      <c r="P111" s="447">
        <f t="shared" si="15"/>
        <v>0</v>
      </c>
      <c r="Q111" s="447">
        <f t="shared" si="15"/>
        <v>-1</v>
      </c>
      <c r="R111" s="447">
        <f t="shared" si="15"/>
        <v>-1</v>
      </c>
      <c r="S111" s="447">
        <f t="shared" si="15"/>
        <v>-1</v>
      </c>
      <c r="T111" s="447">
        <f t="shared" si="15"/>
        <v>0</v>
      </c>
      <c r="U111" s="447">
        <f t="shared" si="15"/>
        <v>0</v>
      </c>
      <c r="V111" s="447">
        <f t="shared" si="15"/>
        <v>0</v>
      </c>
      <c r="W111" s="447">
        <f t="shared" si="15"/>
        <v>0</v>
      </c>
      <c r="X111" s="447">
        <f t="shared" si="15"/>
        <v>0</v>
      </c>
      <c r="Y111" s="447">
        <f t="shared" si="15"/>
        <v>0</v>
      </c>
      <c r="Z111" s="447">
        <f t="shared" si="15"/>
        <v>-7</v>
      </c>
    </row>
    <row r="113" spans="1:26" x14ac:dyDescent="0.25">
      <c r="A113" s="739" t="s">
        <v>1231</v>
      </c>
      <c r="B113" s="739"/>
    </row>
    <row r="114" spans="1:26" ht="30" x14ac:dyDescent="0.25">
      <c r="A114" s="558" t="s">
        <v>1</v>
      </c>
      <c r="B114" s="558" t="s">
        <v>59</v>
      </c>
      <c r="C114" s="425"/>
      <c r="D114" s="425"/>
      <c r="E114" s="425"/>
      <c r="F114" s="426"/>
      <c r="G114" s="432" t="s">
        <v>1225</v>
      </c>
      <c r="H114" s="427" t="s">
        <v>1224</v>
      </c>
      <c r="I114" s="427" t="s">
        <v>1498</v>
      </c>
      <c r="J114" s="427" t="s">
        <v>94</v>
      </c>
      <c r="K114" s="424" t="s">
        <v>681</v>
      </c>
      <c r="L114" s="424" t="s">
        <v>1496</v>
      </c>
      <c r="M114" s="424" t="s">
        <v>1497</v>
      </c>
      <c r="N114" s="424" t="s">
        <v>682</v>
      </c>
      <c r="O114" s="424" t="s">
        <v>683</v>
      </c>
      <c r="P114" s="424" t="s">
        <v>87</v>
      </c>
      <c r="Q114" s="424" t="s">
        <v>684</v>
      </c>
      <c r="R114" s="424" t="s">
        <v>685</v>
      </c>
      <c r="S114" s="424" t="s">
        <v>690</v>
      </c>
      <c r="T114" s="424" t="s">
        <v>686</v>
      </c>
      <c r="U114" s="424" t="s">
        <v>687</v>
      </c>
      <c r="V114" s="424" t="s">
        <v>688</v>
      </c>
      <c r="W114" s="424" t="s">
        <v>689</v>
      </c>
      <c r="X114" s="424" t="s">
        <v>138</v>
      </c>
      <c r="Y114" s="424" t="s">
        <v>1385</v>
      </c>
      <c r="Z114" s="424" t="s">
        <v>1238</v>
      </c>
    </row>
    <row r="115" spans="1:26" ht="15" customHeight="1" x14ac:dyDescent="0.25">
      <c r="A115" s="531" t="s">
        <v>1392</v>
      </c>
      <c r="B115" s="531" t="s">
        <v>1506</v>
      </c>
      <c r="C115" s="487"/>
      <c r="D115" s="488"/>
      <c r="E115" s="486"/>
      <c r="F115" s="488"/>
      <c r="G115" s="486">
        <v>-1</v>
      </c>
      <c r="H115" s="539">
        <v>-1595</v>
      </c>
      <c r="I115" s="539">
        <v>0</v>
      </c>
      <c r="J115" s="539">
        <f>H115*0.4</f>
        <v>-638</v>
      </c>
      <c r="K115" s="535"/>
      <c r="L115" s="535"/>
      <c r="M115" s="535"/>
      <c r="N115" s="535"/>
      <c r="O115" s="535"/>
      <c r="P115" s="535"/>
      <c r="Q115" s="535"/>
      <c r="R115" s="535"/>
      <c r="S115" s="535">
        <v>-1</v>
      </c>
      <c r="T115" s="535"/>
      <c r="U115" s="535"/>
      <c r="V115" s="535"/>
      <c r="W115" s="535"/>
      <c r="X115" s="535"/>
      <c r="Y115" s="535"/>
      <c r="Z115" s="535">
        <f t="shared" ref="Z115:Z117" si="16">SUM(K115:Y115)</f>
        <v>-1</v>
      </c>
    </row>
    <row r="116" spans="1:26" ht="15" customHeight="1" x14ac:dyDescent="0.25">
      <c r="A116" s="538"/>
      <c r="B116" s="535"/>
      <c r="C116" s="487"/>
      <c r="D116" s="488"/>
      <c r="E116" s="486"/>
      <c r="F116" s="488"/>
      <c r="G116" s="486"/>
      <c r="H116" s="539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6"/>
        <v>0</v>
      </c>
    </row>
    <row r="117" spans="1:26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6"/>
        <v>0</v>
      </c>
    </row>
    <row r="118" spans="1:26" ht="15" customHeight="1" x14ac:dyDescent="0.25">
      <c r="A118" s="443" t="s">
        <v>1230</v>
      </c>
      <c r="B118" s="444"/>
      <c r="C118" s="445"/>
      <c r="D118" s="446"/>
      <c r="E118" s="447"/>
      <c r="F118" s="446"/>
      <c r="G118" s="447">
        <f>SUM(G115:G117)</f>
        <v>-1</v>
      </c>
      <c r="H118" s="448">
        <f>SUM(H115:H117)</f>
        <v>-1595</v>
      </c>
      <c r="I118" s="448">
        <f t="shared" ref="I118:Z118" si="17">SUM(I115:I117)</f>
        <v>0</v>
      </c>
      <c r="J118" s="448">
        <f t="shared" si="17"/>
        <v>-638</v>
      </c>
      <c r="K118" s="447">
        <f t="shared" si="17"/>
        <v>0</v>
      </c>
      <c r="L118" s="447">
        <f t="shared" si="17"/>
        <v>0</v>
      </c>
      <c r="M118" s="447">
        <f t="shared" si="17"/>
        <v>0</v>
      </c>
      <c r="N118" s="447">
        <f t="shared" si="17"/>
        <v>0</v>
      </c>
      <c r="O118" s="447">
        <f t="shared" si="17"/>
        <v>0</v>
      </c>
      <c r="P118" s="447">
        <f t="shared" si="17"/>
        <v>0</v>
      </c>
      <c r="Q118" s="447">
        <f t="shared" si="17"/>
        <v>0</v>
      </c>
      <c r="R118" s="447">
        <f t="shared" si="17"/>
        <v>0</v>
      </c>
      <c r="S118" s="447">
        <f t="shared" si="17"/>
        <v>-1</v>
      </c>
      <c r="T118" s="447">
        <f t="shared" si="17"/>
        <v>0</v>
      </c>
      <c r="U118" s="447">
        <f t="shared" si="17"/>
        <v>0</v>
      </c>
      <c r="V118" s="447">
        <f t="shared" si="17"/>
        <v>0</v>
      </c>
      <c r="W118" s="447">
        <f t="shared" si="17"/>
        <v>0</v>
      </c>
      <c r="X118" s="447">
        <f t="shared" si="17"/>
        <v>0</v>
      </c>
      <c r="Y118" s="447">
        <f t="shared" si="17"/>
        <v>0</v>
      </c>
      <c r="Z118" s="447">
        <f t="shared" si="17"/>
        <v>-1</v>
      </c>
    </row>
    <row r="119" spans="1:26" ht="15.75" thickBot="1" x14ac:dyDescent="0.3"/>
    <row r="120" spans="1:26" ht="15.75" thickBot="1" x14ac:dyDescent="0.3">
      <c r="A120" s="436" t="s">
        <v>1232</v>
      </c>
      <c r="B120" s="434"/>
      <c r="C120" s="434"/>
      <c r="D120" s="434"/>
      <c r="E120" s="434"/>
      <c r="F120" s="434"/>
      <c r="G120" s="437">
        <f t="shared" ref="G120:Y120" si="18">G80+G92+G104+G111+G118</f>
        <v>15</v>
      </c>
      <c r="H120" s="438">
        <f t="shared" si="18"/>
        <v>34615.75</v>
      </c>
      <c r="I120" s="438">
        <f t="shared" si="18"/>
        <v>38135</v>
      </c>
      <c r="J120" s="438">
        <f t="shared" si="18"/>
        <v>64030.16</v>
      </c>
      <c r="K120" s="450">
        <f t="shared" si="18"/>
        <v>4</v>
      </c>
      <c r="L120" s="450">
        <f t="shared" si="18"/>
        <v>-1</v>
      </c>
      <c r="M120" s="450">
        <f t="shared" si="18"/>
        <v>0</v>
      </c>
      <c r="N120" s="450">
        <f t="shared" si="18"/>
        <v>2</v>
      </c>
      <c r="O120" s="450">
        <f t="shared" si="18"/>
        <v>1</v>
      </c>
      <c r="P120" s="450">
        <f t="shared" si="18"/>
        <v>2</v>
      </c>
      <c r="Q120" s="450">
        <f t="shared" si="18"/>
        <v>1</v>
      </c>
      <c r="R120" s="450">
        <f t="shared" si="18"/>
        <v>-1</v>
      </c>
      <c r="S120" s="450">
        <f t="shared" si="18"/>
        <v>2</v>
      </c>
      <c r="T120" s="450">
        <f t="shared" si="18"/>
        <v>0</v>
      </c>
      <c r="U120" s="450">
        <f t="shared" si="18"/>
        <v>0</v>
      </c>
      <c r="V120" s="450">
        <f t="shared" si="18"/>
        <v>2</v>
      </c>
      <c r="W120" s="450">
        <f t="shared" si="18"/>
        <v>1</v>
      </c>
      <c r="X120" s="450">
        <f t="shared" si="18"/>
        <v>1</v>
      </c>
      <c r="Y120" s="450">
        <f t="shared" si="18"/>
        <v>1</v>
      </c>
      <c r="Z120" s="450">
        <f>Z80+Z92+Z104+Z111+Z118</f>
        <v>15</v>
      </c>
    </row>
    <row r="121" spans="1:26" ht="15.75" thickBot="1" x14ac:dyDescent="0.3">
      <c r="A121" s="436" t="s">
        <v>64</v>
      </c>
      <c r="B121" s="434"/>
      <c r="C121" s="434"/>
      <c r="D121" s="434"/>
      <c r="E121" s="434"/>
      <c r="F121" s="434"/>
      <c r="G121" s="437"/>
      <c r="H121" s="438"/>
      <c r="I121" s="438"/>
      <c r="J121" s="438"/>
      <c r="N121" s="419" t="s">
        <v>1643</v>
      </c>
      <c r="O121" s="419" t="s">
        <v>1522</v>
      </c>
    </row>
    <row r="122" spans="1:26" ht="15.75" thickBot="1" x14ac:dyDescent="0.3">
      <c r="A122" s="439" t="s">
        <v>452</v>
      </c>
      <c r="B122" s="440"/>
      <c r="C122" s="440"/>
      <c r="D122" s="440"/>
      <c r="E122" s="440"/>
      <c r="F122" s="440"/>
      <c r="G122" s="441"/>
      <c r="H122" s="442">
        <f>H120-H121</f>
        <v>34615.75</v>
      </c>
      <c r="I122" s="442"/>
      <c r="J122" s="442"/>
      <c r="M122" s="419" t="s">
        <v>0</v>
      </c>
      <c r="N122" s="520">
        <f>SUM(K92:V92)+SUM(K104:V104)</f>
        <v>20</v>
      </c>
      <c r="O122" s="520">
        <f>SUM(K111:V111)+SUM(K118:V118)</f>
        <v>-8</v>
      </c>
      <c r="P122" s="520">
        <f>N122+O122</f>
        <v>12</v>
      </c>
    </row>
    <row r="123" spans="1:26" x14ac:dyDescent="0.25">
      <c r="M123" s="419" t="s">
        <v>162</v>
      </c>
      <c r="N123" s="520">
        <f>SUM(W92:Y92)</f>
        <v>3</v>
      </c>
      <c r="O123" s="419">
        <v>0</v>
      </c>
      <c r="P123" s="520">
        <f t="shared" ref="P123:P124" si="19">N123+O123</f>
        <v>3</v>
      </c>
    </row>
    <row r="124" spans="1:26" x14ac:dyDescent="0.25">
      <c r="N124" s="520">
        <f>SUM(N122:N123)</f>
        <v>23</v>
      </c>
      <c r="O124" s="520">
        <f>SUM(O122:O123)</f>
        <v>-8</v>
      </c>
      <c r="P124" s="520">
        <f t="shared" si="19"/>
        <v>15</v>
      </c>
    </row>
    <row r="125" spans="1:26" x14ac:dyDescent="0.25">
      <c r="H125" s="435">
        <f>H80+H104+H111+H118</f>
        <v>-3498.2499999999982</v>
      </c>
      <c r="I125" s="435"/>
      <c r="J125" s="435"/>
    </row>
  </sheetData>
  <mergeCells count="8">
    <mergeCell ref="G3:H3"/>
    <mergeCell ref="A82:B82"/>
    <mergeCell ref="A94:B94"/>
    <mergeCell ref="A106:B106"/>
    <mergeCell ref="A113:B113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22"/>
  <sheetViews>
    <sheetView topLeftCell="A76" zoomScale="80" zoomScaleNormal="80" workbookViewId="0">
      <selection activeCell="Q111" sqref="Q111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9" width="12.28515625" style="419" bestFit="1" customWidth="1"/>
    <col min="10" max="10" width="13.425781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1360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58" t="s">
        <v>1</v>
      </c>
      <c r="B4" s="55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27</v>
      </c>
      <c r="B5" s="530" t="s">
        <v>1620</v>
      </c>
      <c r="C5" s="531">
        <v>1</v>
      </c>
      <c r="D5" s="542">
        <v>4685</v>
      </c>
      <c r="E5" s="535">
        <v>1</v>
      </c>
      <c r="F5" s="542">
        <f>2560+2200</f>
        <v>4760</v>
      </c>
      <c r="G5" s="535">
        <f t="shared" ref="G5:G35" si="0">E5-C5</f>
        <v>0</v>
      </c>
      <c r="H5" s="542">
        <f t="shared" ref="H5:H35" si="1">F5-D5</f>
        <v>75</v>
      </c>
      <c r="I5" s="542"/>
      <c r="J5" s="542">
        <v>1024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35" si="2">SUM(K5:Y5)</f>
        <v>0</v>
      </c>
    </row>
    <row r="6" spans="1:26" ht="14.45" customHeight="1" x14ac:dyDescent="0.25">
      <c r="A6" s="531" t="s">
        <v>28</v>
      </c>
      <c r="B6" s="530" t="s">
        <v>1620</v>
      </c>
      <c r="C6" s="531">
        <v>4</v>
      </c>
      <c r="D6" s="542">
        <v>6806</v>
      </c>
      <c r="E6" s="535">
        <v>4</v>
      </c>
      <c r="F6" s="542">
        <v>7009</v>
      </c>
      <c r="G6" s="535">
        <f t="shared" si="0"/>
        <v>0</v>
      </c>
      <c r="H6" s="542">
        <f t="shared" si="1"/>
        <v>203</v>
      </c>
      <c r="I6" s="542"/>
      <c r="J6" s="542">
        <v>2804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1" t="s">
        <v>29</v>
      </c>
      <c r="B7" s="530" t="s">
        <v>1620</v>
      </c>
      <c r="C7" s="531">
        <v>4</v>
      </c>
      <c r="D7" s="542">
        <v>6161</v>
      </c>
      <c r="E7" s="535">
        <v>4</v>
      </c>
      <c r="F7" s="542">
        <v>6900</v>
      </c>
      <c r="G7" s="535">
        <f t="shared" si="0"/>
        <v>0</v>
      </c>
      <c r="H7" s="542">
        <f t="shared" si="1"/>
        <v>739</v>
      </c>
      <c r="I7" s="542"/>
      <c r="J7" s="542">
        <v>2760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0" t="s">
        <v>148</v>
      </c>
      <c r="B8" s="530" t="s">
        <v>1620</v>
      </c>
      <c r="C8" s="531">
        <v>1</v>
      </c>
      <c r="D8" s="542">
        <v>2485</v>
      </c>
      <c r="E8" s="535">
        <v>1</v>
      </c>
      <c r="F8" s="542">
        <v>2560</v>
      </c>
      <c r="G8" s="535">
        <f t="shared" si="0"/>
        <v>0</v>
      </c>
      <c r="H8" s="542">
        <f t="shared" si="1"/>
        <v>75</v>
      </c>
      <c r="I8" s="542"/>
      <c r="J8" s="542">
        <v>1024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0" t="s">
        <v>1159</v>
      </c>
      <c r="B9" s="530" t="s">
        <v>1620</v>
      </c>
      <c r="C9" s="531">
        <v>1</v>
      </c>
      <c r="D9" s="542">
        <v>2485</v>
      </c>
      <c r="E9" s="535">
        <v>1</v>
      </c>
      <c r="F9" s="542">
        <v>2560</v>
      </c>
      <c r="G9" s="535">
        <f t="shared" si="0"/>
        <v>0</v>
      </c>
      <c r="H9" s="542">
        <f t="shared" si="1"/>
        <v>75</v>
      </c>
      <c r="I9" s="542"/>
      <c r="J9" s="542">
        <v>1024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0" t="s">
        <v>1409</v>
      </c>
      <c r="B10" s="530" t="s">
        <v>1620</v>
      </c>
      <c r="C10" s="530">
        <v>1</v>
      </c>
      <c r="D10" s="542">
        <v>1595</v>
      </c>
      <c r="E10" s="535">
        <v>1</v>
      </c>
      <c r="F10" s="542">
        <v>1643</v>
      </c>
      <c r="G10" s="535">
        <f t="shared" si="0"/>
        <v>0</v>
      </c>
      <c r="H10" s="542">
        <f t="shared" si="1"/>
        <v>48</v>
      </c>
      <c r="I10" s="542"/>
      <c r="J10" s="542">
        <v>657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1" t="s">
        <v>39</v>
      </c>
      <c r="B11" s="530" t="s">
        <v>115</v>
      </c>
      <c r="C11" s="531">
        <v>8</v>
      </c>
      <c r="D11" s="542">
        <v>12253</v>
      </c>
      <c r="E11" s="535">
        <v>8</v>
      </c>
      <c r="F11" s="542">
        <v>13144</v>
      </c>
      <c r="G11" s="535">
        <f t="shared" si="0"/>
        <v>0</v>
      </c>
      <c r="H11" s="542">
        <f t="shared" si="1"/>
        <v>891</v>
      </c>
      <c r="I11" s="542"/>
      <c r="J11" s="542">
        <v>4120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1" t="s">
        <v>38</v>
      </c>
      <c r="B12" s="530" t="s">
        <v>115</v>
      </c>
      <c r="C12" s="531">
        <v>9</v>
      </c>
      <c r="D12" s="540">
        <v>8941</v>
      </c>
      <c r="E12" s="535">
        <v>9</v>
      </c>
      <c r="F12" s="542">
        <v>9611</v>
      </c>
      <c r="G12" s="535">
        <f t="shared" si="0"/>
        <v>0</v>
      </c>
      <c r="H12" s="542">
        <f t="shared" si="1"/>
        <v>670</v>
      </c>
      <c r="I12" s="542"/>
      <c r="J12" s="542">
        <v>3844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5" t="s">
        <v>258</v>
      </c>
      <c r="B13" s="531" t="s">
        <v>115</v>
      </c>
      <c r="C13" s="531">
        <v>7</v>
      </c>
      <c r="D13" s="542">
        <v>7996</v>
      </c>
      <c r="E13" s="535">
        <v>7</v>
      </c>
      <c r="F13" s="542">
        <v>8899</v>
      </c>
      <c r="G13" s="535">
        <f t="shared" si="0"/>
        <v>0</v>
      </c>
      <c r="H13" s="542">
        <f t="shared" si="1"/>
        <v>903</v>
      </c>
      <c r="I13" s="542"/>
      <c r="J13" s="542">
        <v>3560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1" t="s">
        <v>207</v>
      </c>
      <c r="B14" s="531" t="s">
        <v>1620</v>
      </c>
      <c r="C14" s="531">
        <v>2</v>
      </c>
      <c r="D14" s="542">
        <v>3190</v>
      </c>
      <c r="E14" s="535">
        <v>2</v>
      </c>
      <c r="F14" s="542">
        <v>3286</v>
      </c>
      <c r="G14" s="535">
        <f t="shared" si="0"/>
        <v>0</v>
      </c>
      <c r="H14" s="542">
        <f t="shared" si="1"/>
        <v>96</v>
      </c>
      <c r="I14" s="542"/>
      <c r="J14" s="542">
        <v>1314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0" t="s">
        <v>1464</v>
      </c>
      <c r="B15" s="530" t="s">
        <v>115</v>
      </c>
      <c r="C15" s="530">
        <v>1</v>
      </c>
      <c r="D15" s="542">
        <v>1890</v>
      </c>
      <c r="E15" s="535">
        <v>1</v>
      </c>
      <c r="F15" s="542">
        <v>865</v>
      </c>
      <c r="G15" s="535">
        <f t="shared" si="0"/>
        <v>0</v>
      </c>
      <c r="H15" s="542">
        <f t="shared" si="1"/>
        <v>-1025</v>
      </c>
      <c r="I15" s="542"/>
      <c r="J15" s="542">
        <v>346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1" t="s">
        <v>37</v>
      </c>
      <c r="B16" s="531" t="s">
        <v>115</v>
      </c>
      <c r="C16" s="531">
        <v>5</v>
      </c>
      <c r="D16" s="542">
        <v>3566</v>
      </c>
      <c r="E16" s="535">
        <v>5</v>
      </c>
      <c r="F16" s="542">
        <v>4783</v>
      </c>
      <c r="G16" s="535">
        <f t="shared" si="0"/>
        <v>0</v>
      </c>
      <c r="H16" s="542">
        <f t="shared" si="1"/>
        <v>1217</v>
      </c>
      <c r="I16" s="542"/>
      <c r="J16" s="542">
        <v>1913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1" t="s">
        <v>278</v>
      </c>
      <c r="B17" s="531" t="s">
        <v>115</v>
      </c>
      <c r="C17" s="531">
        <v>8</v>
      </c>
      <c r="D17" s="542">
        <v>11767</v>
      </c>
      <c r="E17" s="535">
        <v>8</v>
      </c>
      <c r="F17" s="542">
        <v>9311</v>
      </c>
      <c r="G17" s="535">
        <f t="shared" si="0"/>
        <v>0</v>
      </c>
      <c r="H17" s="542">
        <f t="shared" si="1"/>
        <v>-2456</v>
      </c>
      <c r="I17" s="542"/>
      <c r="J17" s="542">
        <v>3725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1" t="s">
        <v>386</v>
      </c>
      <c r="B18" s="531" t="s">
        <v>115</v>
      </c>
      <c r="C18" s="531">
        <v>3</v>
      </c>
      <c r="D18" s="542">
        <v>4785</v>
      </c>
      <c r="E18" s="535">
        <v>3</v>
      </c>
      <c r="F18" s="542">
        <v>4929</v>
      </c>
      <c r="G18" s="535">
        <f t="shared" si="0"/>
        <v>0</v>
      </c>
      <c r="H18" s="542">
        <f t="shared" si="1"/>
        <v>144</v>
      </c>
      <c r="I18" s="542"/>
      <c r="J18" s="542">
        <v>1972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1" t="s">
        <v>36</v>
      </c>
      <c r="B19" s="531" t="s">
        <v>115</v>
      </c>
      <c r="C19" s="531">
        <v>8</v>
      </c>
      <c r="D19" s="542">
        <v>9040</v>
      </c>
      <c r="E19" s="535">
        <v>8</v>
      </c>
      <c r="F19" s="542">
        <v>8810</v>
      </c>
      <c r="G19" s="535">
        <f t="shared" si="0"/>
        <v>0</v>
      </c>
      <c r="H19" s="542">
        <f t="shared" si="1"/>
        <v>-230</v>
      </c>
      <c r="I19" s="542"/>
      <c r="J19" s="542">
        <v>3524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2"/>
        <v>0</v>
      </c>
    </row>
    <row r="20" spans="1:26" ht="14.45" customHeight="1" x14ac:dyDescent="0.25">
      <c r="A20" s="531" t="s">
        <v>35</v>
      </c>
      <c r="B20" s="531" t="s">
        <v>115</v>
      </c>
      <c r="C20" s="531">
        <v>9</v>
      </c>
      <c r="D20" s="542">
        <v>9238</v>
      </c>
      <c r="E20" s="535">
        <v>9</v>
      </c>
      <c r="F20" s="542">
        <v>11516</v>
      </c>
      <c r="G20" s="535">
        <f t="shared" si="0"/>
        <v>0</v>
      </c>
      <c r="H20" s="542">
        <f t="shared" si="1"/>
        <v>2278</v>
      </c>
      <c r="I20" s="542"/>
      <c r="J20" s="542">
        <v>4000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0" t="s">
        <v>121</v>
      </c>
      <c r="B21" s="531" t="s">
        <v>115</v>
      </c>
      <c r="C21" s="531">
        <v>1</v>
      </c>
      <c r="D21" s="542">
        <v>865</v>
      </c>
      <c r="E21" s="535">
        <v>1</v>
      </c>
      <c r="F21" s="542">
        <v>890</v>
      </c>
      <c r="G21" s="535">
        <f t="shared" si="0"/>
        <v>0</v>
      </c>
      <c r="H21" s="542">
        <f t="shared" si="1"/>
        <v>25</v>
      </c>
      <c r="I21" s="542"/>
      <c r="J21" s="542">
        <v>356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1" t="s">
        <v>34</v>
      </c>
      <c r="B22" s="531" t="s">
        <v>115</v>
      </c>
      <c r="C22" s="531">
        <v>6</v>
      </c>
      <c r="D22" s="542">
        <v>7975</v>
      </c>
      <c r="E22" s="535">
        <v>6</v>
      </c>
      <c r="F22" s="542">
        <v>8215</v>
      </c>
      <c r="G22" s="535">
        <f t="shared" si="0"/>
        <v>0</v>
      </c>
      <c r="H22" s="542">
        <f t="shared" si="1"/>
        <v>240</v>
      </c>
      <c r="I22" s="542"/>
      <c r="J22" s="542">
        <v>3286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1" t="s">
        <v>310</v>
      </c>
      <c r="B23" s="531" t="s">
        <v>115</v>
      </c>
      <c r="C23" s="531">
        <v>13</v>
      </c>
      <c r="D23" s="542">
        <v>20404</v>
      </c>
      <c r="E23" s="535">
        <v>13</v>
      </c>
      <c r="F23" s="542">
        <f>16227+4650</f>
        <v>20877</v>
      </c>
      <c r="G23" s="535">
        <f t="shared" si="0"/>
        <v>0</v>
      </c>
      <c r="H23" s="542">
        <f t="shared" si="1"/>
        <v>473</v>
      </c>
      <c r="I23" s="542"/>
      <c r="J23" s="542">
        <v>4000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1" t="s">
        <v>309</v>
      </c>
      <c r="B24" s="531" t="s">
        <v>115</v>
      </c>
      <c r="C24" s="531">
        <v>10</v>
      </c>
      <c r="D24" s="542">
        <v>11960.5</v>
      </c>
      <c r="E24" s="535">
        <v>10</v>
      </c>
      <c r="F24" s="542">
        <v>9912</v>
      </c>
      <c r="G24" s="535">
        <f t="shared" si="0"/>
        <v>0</v>
      </c>
      <c r="H24" s="542">
        <f t="shared" si="1"/>
        <v>-2048.5</v>
      </c>
      <c r="I24" s="542"/>
      <c r="J24" s="542">
        <v>3965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1" t="s">
        <v>33</v>
      </c>
      <c r="B25" s="531" t="s">
        <v>115</v>
      </c>
      <c r="C25" s="531">
        <v>9</v>
      </c>
      <c r="D25" s="542">
        <v>14489.5</v>
      </c>
      <c r="E25" s="535">
        <v>9</v>
      </c>
      <c r="F25" s="542">
        <v>15926</v>
      </c>
      <c r="G25" s="535">
        <f t="shared" si="0"/>
        <v>0</v>
      </c>
      <c r="H25" s="542">
        <f t="shared" si="1"/>
        <v>1436.5</v>
      </c>
      <c r="I25" s="542"/>
      <c r="J25" s="542">
        <v>4000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3" t="s">
        <v>255</v>
      </c>
      <c r="B26" s="530" t="s">
        <v>115</v>
      </c>
      <c r="C26" s="531">
        <v>1</v>
      </c>
      <c r="D26" s="542">
        <v>1595</v>
      </c>
      <c r="E26" s="535">
        <v>1</v>
      </c>
      <c r="F26" s="542">
        <v>1643</v>
      </c>
      <c r="G26" s="535">
        <f t="shared" si="0"/>
        <v>0</v>
      </c>
      <c r="H26" s="542">
        <f t="shared" si="1"/>
        <v>48</v>
      </c>
      <c r="I26" s="542"/>
      <c r="J26" s="542">
        <v>657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0" t="s">
        <v>1423</v>
      </c>
      <c r="B27" s="530" t="s">
        <v>1620</v>
      </c>
      <c r="C27" s="530">
        <v>3</v>
      </c>
      <c r="D27" s="542">
        <v>4650</v>
      </c>
      <c r="E27" s="535">
        <v>3</v>
      </c>
      <c r="F27" s="542">
        <v>4785</v>
      </c>
      <c r="G27" s="535">
        <f t="shared" si="0"/>
        <v>0</v>
      </c>
      <c r="H27" s="542">
        <f t="shared" si="1"/>
        <v>135</v>
      </c>
      <c r="I27" s="542"/>
      <c r="J27" s="542">
        <v>1914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0" t="s">
        <v>259</v>
      </c>
      <c r="B28" s="531" t="s">
        <v>115</v>
      </c>
      <c r="C28" s="531">
        <v>6</v>
      </c>
      <c r="D28" s="542">
        <v>3125</v>
      </c>
      <c r="E28" s="535">
        <v>6</v>
      </c>
      <c r="F28" s="542">
        <v>2662</v>
      </c>
      <c r="G28" s="535">
        <f t="shared" si="0"/>
        <v>0</v>
      </c>
      <c r="H28" s="542">
        <f t="shared" si="1"/>
        <v>-463</v>
      </c>
      <c r="I28" s="542"/>
      <c r="J28" s="542">
        <v>1065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8" t="s">
        <v>1411</v>
      </c>
      <c r="B29" s="530" t="s">
        <v>1620</v>
      </c>
      <c r="C29" s="530">
        <v>3</v>
      </c>
      <c r="D29" s="542">
        <v>6850</v>
      </c>
      <c r="E29" s="535">
        <v>3</v>
      </c>
      <c r="F29" s="542">
        <v>6850</v>
      </c>
      <c r="G29" s="535">
        <f t="shared" si="0"/>
        <v>0</v>
      </c>
      <c r="H29" s="542">
        <f t="shared" si="1"/>
        <v>0</v>
      </c>
      <c r="I29" s="542"/>
      <c r="J29" s="542">
        <v>0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A30" s="531" t="s">
        <v>387</v>
      </c>
      <c r="B30" s="531" t="s">
        <v>115</v>
      </c>
      <c r="C30" s="531">
        <v>11</v>
      </c>
      <c r="D30" s="542">
        <v>17545</v>
      </c>
      <c r="E30" s="535">
        <v>11</v>
      </c>
      <c r="F30" s="542">
        <v>18073</v>
      </c>
      <c r="G30" s="535">
        <f t="shared" si="0"/>
        <v>0</v>
      </c>
      <c r="H30" s="542">
        <f t="shared" si="1"/>
        <v>528</v>
      </c>
      <c r="I30" s="542"/>
      <c r="J30" s="542">
        <v>7229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customHeight="1" x14ac:dyDescent="0.25">
      <c r="A31" s="530" t="s">
        <v>117</v>
      </c>
      <c r="B31" s="530" t="s">
        <v>1620</v>
      </c>
      <c r="C31" s="531">
        <v>4</v>
      </c>
      <c r="D31" s="542">
        <v>8861</v>
      </c>
      <c r="E31" s="535">
        <v>4</v>
      </c>
      <c r="F31" s="542">
        <v>8215</v>
      </c>
      <c r="G31" s="535">
        <f t="shared" si="0"/>
        <v>0</v>
      </c>
      <c r="H31" s="542">
        <f t="shared" si="1"/>
        <v>-646</v>
      </c>
      <c r="I31" s="542"/>
      <c r="J31" s="542">
        <v>3286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customHeight="1" x14ac:dyDescent="0.25">
      <c r="A32" s="530" t="s">
        <v>280</v>
      </c>
      <c r="B32" s="530" t="s">
        <v>1620</v>
      </c>
      <c r="C32" s="531">
        <v>7</v>
      </c>
      <c r="D32" s="542">
        <v>8536</v>
      </c>
      <c r="E32" s="535">
        <v>7</v>
      </c>
      <c r="F32" s="542">
        <v>7676</v>
      </c>
      <c r="G32" s="535">
        <f t="shared" si="0"/>
        <v>0</v>
      </c>
      <c r="H32" s="542">
        <f t="shared" si="1"/>
        <v>-860</v>
      </c>
      <c r="I32" s="542"/>
      <c r="J32" s="542">
        <v>3070</v>
      </c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customHeight="1" x14ac:dyDescent="0.25">
      <c r="A33" s="530" t="s">
        <v>1257</v>
      </c>
      <c r="B33" s="530" t="s">
        <v>1620</v>
      </c>
      <c r="C33" s="530">
        <v>2</v>
      </c>
      <c r="D33" s="542">
        <v>5390</v>
      </c>
      <c r="E33" s="535">
        <v>2</v>
      </c>
      <c r="F33" s="542">
        <v>5486</v>
      </c>
      <c r="G33" s="535">
        <f t="shared" si="0"/>
        <v>0</v>
      </c>
      <c r="H33" s="542">
        <f t="shared" si="1"/>
        <v>96</v>
      </c>
      <c r="I33" s="542"/>
      <c r="J33" s="542">
        <v>1314</v>
      </c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customHeight="1" x14ac:dyDescent="0.25">
      <c r="A34" s="530" t="s">
        <v>252</v>
      </c>
      <c r="B34" s="531" t="s">
        <v>115</v>
      </c>
      <c r="C34" s="531">
        <v>7</v>
      </c>
      <c r="D34" s="542">
        <v>9570</v>
      </c>
      <c r="E34" s="535">
        <v>7</v>
      </c>
      <c r="F34" s="542">
        <v>9858</v>
      </c>
      <c r="G34" s="535">
        <f t="shared" si="0"/>
        <v>0</v>
      </c>
      <c r="H34" s="542">
        <f t="shared" si="1"/>
        <v>288</v>
      </c>
      <c r="I34" s="542"/>
      <c r="J34" s="542">
        <v>3943</v>
      </c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customHeight="1" x14ac:dyDescent="0.25">
      <c r="A35" s="530" t="s">
        <v>254</v>
      </c>
      <c r="B35" s="531" t="s">
        <v>115</v>
      </c>
      <c r="C35" s="531">
        <v>9</v>
      </c>
      <c r="D35" s="542">
        <v>12640</v>
      </c>
      <c r="E35" s="535">
        <v>9</v>
      </c>
      <c r="F35" s="542">
        <v>14022</v>
      </c>
      <c r="G35" s="535">
        <f t="shared" si="0"/>
        <v>0</v>
      </c>
      <c r="H35" s="542">
        <f t="shared" si="1"/>
        <v>1382</v>
      </c>
      <c r="I35" s="542"/>
      <c r="J35" s="542">
        <v>4000</v>
      </c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customHeight="1" x14ac:dyDescent="0.25">
      <c r="A36" s="530" t="s">
        <v>194</v>
      </c>
      <c r="B36" s="530" t="s">
        <v>1620</v>
      </c>
      <c r="C36" s="531">
        <v>9</v>
      </c>
      <c r="D36" s="542">
        <v>14960</v>
      </c>
      <c r="E36" s="535">
        <v>9</v>
      </c>
      <c r="F36" s="542">
        <v>15344</v>
      </c>
      <c r="G36" s="535">
        <f t="shared" ref="G36:G61" si="3">E36-C36</f>
        <v>0</v>
      </c>
      <c r="H36" s="542">
        <f t="shared" ref="H36:H61" si="4">F36-D36</f>
        <v>384</v>
      </c>
      <c r="I36" s="542"/>
      <c r="J36" s="542">
        <v>5258</v>
      </c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ref="Z36:Z61" si="5">SUM(K36:Y36)</f>
        <v>0</v>
      </c>
    </row>
    <row r="37" spans="1:26" ht="14.45" customHeight="1" x14ac:dyDescent="0.25">
      <c r="A37" s="530" t="s">
        <v>118</v>
      </c>
      <c r="B37" s="530" t="s">
        <v>115</v>
      </c>
      <c r="C37" s="531">
        <v>3</v>
      </c>
      <c r="D37" s="542">
        <v>4755</v>
      </c>
      <c r="E37" s="535">
        <v>3</v>
      </c>
      <c r="F37" s="542">
        <v>4929</v>
      </c>
      <c r="G37" s="535">
        <f t="shared" si="3"/>
        <v>0</v>
      </c>
      <c r="H37" s="542">
        <f t="shared" si="4"/>
        <v>174</v>
      </c>
      <c r="I37" s="542"/>
      <c r="J37" s="542">
        <v>1972</v>
      </c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5"/>
        <v>0</v>
      </c>
    </row>
    <row r="38" spans="1:26" ht="14.45" customHeight="1" x14ac:dyDescent="0.25">
      <c r="A38" s="530" t="s">
        <v>1393</v>
      </c>
      <c r="B38" s="530" t="s">
        <v>115</v>
      </c>
      <c r="C38" s="531">
        <v>6</v>
      </c>
      <c r="D38" s="542">
        <v>7795</v>
      </c>
      <c r="E38" s="535">
        <v>6</v>
      </c>
      <c r="F38" s="542">
        <v>8215</v>
      </c>
      <c r="G38" s="535">
        <f t="shared" si="3"/>
        <v>0</v>
      </c>
      <c r="H38" s="542">
        <f t="shared" si="4"/>
        <v>420</v>
      </c>
      <c r="I38" s="542"/>
      <c r="J38" s="542">
        <v>3286</v>
      </c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5"/>
        <v>0</v>
      </c>
    </row>
    <row r="39" spans="1:26" ht="14.25" customHeight="1" x14ac:dyDescent="0.25">
      <c r="A39" s="531" t="s">
        <v>1394</v>
      </c>
      <c r="B39" s="531" t="s">
        <v>115</v>
      </c>
      <c r="C39" s="531">
        <v>7</v>
      </c>
      <c r="D39" s="542">
        <v>10566</v>
      </c>
      <c r="E39" s="535">
        <v>7</v>
      </c>
      <c r="F39" s="542">
        <v>11464</v>
      </c>
      <c r="G39" s="535">
        <f t="shared" si="3"/>
        <v>0</v>
      </c>
      <c r="H39" s="542">
        <f t="shared" si="4"/>
        <v>898</v>
      </c>
      <c r="I39" s="542"/>
      <c r="J39" s="542">
        <v>4000</v>
      </c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5"/>
        <v>0</v>
      </c>
    </row>
    <row r="40" spans="1:26" ht="15" customHeight="1" x14ac:dyDescent="0.25">
      <c r="A40" s="541" t="s">
        <v>1427</v>
      </c>
      <c r="B40" s="530" t="s">
        <v>115</v>
      </c>
      <c r="C40" s="531">
        <v>3</v>
      </c>
      <c r="D40" s="542">
        <v>4785</v>
      </c>
      <c r="E40" s="535">
        <v>3</v>
      </c>
      <c r="F40" s="542">
        <v>4785</v>
      </c>
      <c r="G40" s="535">
        <f t="shared" si="3"/>
        <v>0</v>
      </c>
      <c r="H40" s="542">
        <f t="shared" si="4"/>
        <v>0</v>
      </c>
      <c r="I40" s="542"/>
      <c r="J40" s="542">
        <f>F40*0.4</f>
        <v>1914</v>
      </c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5"/>
        <v>0</v>
      </c>
    </row>
    <row r="41" spans="1:26" ht="14.45" customHeight="1" x14ac:dyDescent="0.25">
      <c r="A41" s="531" t="s">
        <v>379</v>
      </c>
      <c r="B41" s="531" t="s">
        <v>115</v>
      </c>
      <c r="C41" s="531">
        <v>11</v>
      </c>
      <c r="D41" s="542">
        <v>10799.5</v>
      </c>
      <c r="E41" s="531">
        <v>11</v>
      </c>
      <c r="F41" s="542">
        <v>7245</v>
      </c>
      <c r="G41" s="535">
        <f t="shared" si="3"/>
        <v>0</v>
      </c>
      <c r="H41" s="542">
        <f t="shared" si="4"/>
        <v>-3554.5</v>
      </c>
      <c r="I41" s="542"/>
      <c r="J41" s="542">
        <f>(F41-2200)*0.4</f>
        <v>2018</v>
      </c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ref="Z41" si="6">SUM(K41:Y41)</f>
        <v>0</v>
      </c>
    </row>
    <row r="42" spans="1:26" ht="14.45" customHeight="1" x14ac:dyDescent="0.25">
      <c r="A42" s="537" t="s">
        <v>326</v>
      </c>
      <c r="B42" s="530" t="s">
        <v>1620</v>
      </c>
      <c r="C42" s="531">
        <v>5</v>
      </c>
      <c r="D42" s="542">
        <v>8861</v>
      </c>
      <c r="E42" s="531">
        <v>5</v>
      </c>
      <c r="F42" s="542">
        <v>8215</v>
      </c>
      <c r="G42" s="535">
        <f>E42-C42</f>
        <v>0</v>
      </c>
      <c r="H42" s="542">
        <f>F42-D42</f>
        <v>-646</v>
      </c>
      <c r="I42" s="542"/>
      <c r="J42" s="542">
        <f>F42*0.4</f>
        <v>3286</v>
      </c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>SUM(K42:Y42)</f>
        <v>0</v>
      </c>
    </row>
    <row r="43" spans="1:26" ht="15" customHeight="1" x14ac:dyDescent="0.25">
      <c r="A43" s="530"/>
      <c r="B43" s="535"/>
      <c r="C43" s="530"/>
      <c r="D43" s="542"/>
      <c r="E43" s="535"/>
      <c r="F43" s="542"/>
      <c r="G43" s="535">
        <f t="shared" si="3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5"/>
        <v>0</v>
      </c>
    </row>
    <row r="44" spans="1:26" ht="15" customHeight="1" x14ac:dyDescent="0.25">
      <c r="A44" s="530"/>
      <c r="B44" s="535"/>
      <c r="C44" s="530"/>
      <c r="D44" s="542"/>
      <c r="E44" s="535"/>
      <c r="F44" s="542"/>
      <c r="G44" s="535">
        <f t="shared" si="3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5"/>
        <v>0</v>
      </c>
    </row>
    <row r="45" spans="1:26" ht="15" customHeight="1" x14ac:dyDescent="0.25">
      <c r="A45" s="530"/>
      <c r="B45" s="535"/>
      <c r="C45" s="530"/>
      <c r="D45" s="542"/>
      <c r="E45" s="535"/>
      <c r="F45" s="542"/>
      <c r="G45" s="535">
        <f t="shared" si="3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5"/>
        <v>0</v>
      </c>
    </row>
    <row r="46" spans="1:26" ht="15" customHeight="1" x14ac:dyDescent="0.25">
      <c r="A46" s="530"/>
      <c r="B46" s="535"/>
      <c r="C46" s="530"/>
      <c r="D46" s="542"/>
      <c r="E46" s="535"/>
      <c r="F46" s="542"/>
      <c r="G46" s="535">
        <f t="shared" si="3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5"/>
        <v>0</v>
      </c>
    </row>
    <row r="47" spans="1:26" ht="15" customHeight="1" x14ac:dyDescent="0.25">
      <c r="A47" s="530"/>
      <c r="B47" s="535"/>
      <c r="C47" s="530"/>
      <c r="D47" s="542"/>
      <c r="E47" s="535"/>
      <c r="F47" s="542"/>
      <c r="G47" s="535">
        <f t="shared" si="3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5"/>
        <v>0</v>
      </c>
    </row>
    <row r="48" spans="1:26" ht="15" customHeight="1" x14ac:dyDescent="0.25">
      <c r="A48" s="530"/>
      <c r="B48" s="535"/>
      <c r="C48" s="530"/>
      <c r="D48" s="542"/>
      <c r="E48" s="535"/>
      <c r="F48" s="542"/>
      <c r="G48" s="535">
        <f t="shared" si="3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5"/>
        <v>0</v>
      </c>
    </row>
    <row r="49" spans="1:26" ht="15" customHeight="1" x14ac:dyDescent="0.25">
      <c r="A49" s="530"/>
      <c r="B49" s="535"/>
      <c r="C49" s="530"/>
      <c r="D49" s="542"/>
      <c r="E49" s="535"/>
      <c r="F49" s="542"/>
      <c r="G49" s="535">
        <f t="shared" si="3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5"/>
        <v>0</v>
      </c>
    </row>
    <row r="50" spans="1:26" ht="15" customHeight="1" x14ac:dyDescent="0.25">
      <c r="A50" s="530"/>
      <c r="B50" s="535"/>
      <c r="C50" s="531"/>
      <c r="D50" s="542"/>
      <c r="E50" s="535"/>
      <c r="F50" s="542"/>
      <c r="G50" s="535">
        <f t="shared" si="3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5"/>
        <v>0</v>
      </c>
    </row>
    <row r="51" spans="1:26" ht="15" hidden="1" customHeight="1" x14ac:dyDescent="0.25">
      <c r="A51" s="530"/>
      <c r="B51" s="535"/>
      <c r="C51" s="531"/>
      <c r="D51" s="542"/>
      <c r="E51" s="535"/>
      <c r="F51" s="542"/>
      <c r="G51" s="535">
        <f t="shared" si="3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5"/>
        <v>0</v>
      </c>
    </row>
    <row r="52" spans="1:26" ht="15" hidden="1" customHeight="1" x14ac:dyDescent="0.25">
      <c r="A52" s="530"/>
      <c r="B52" s="535"/>
      <c r="C52" s="531"/>
      <c r="D52" s="542"/>
      <c r="E52" s="535"/>
      <c r="F52" s="542"/>
      <c r="G52" s="535">
        <f t="shared" si="3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5"/>
        <v>0</v>
      </c>
    </row>
    <row r="53" spans="1:26" ht="15" hidden="1" customHeight="1" x14ac:dyDescent="0.25">
      <c r="A53" s="530"/>
      <c r="B53" s="535"/>
      <c r="C53" s="531"/>
      <c r="D53" s="542"/>
      <c r="E53" s="535"/>
      <c r="F53" s="542"/>
      <c r="G53" s="535">
        <f t="shared" si="3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5"/>
        <v>0</v>
      </c>
    </row>
    <row r="54" spans="1:26" ht="15" hidden="1" customHeight="1" x14ac:dyDescent="0.25">
      <c r="A54" s="530"/>
      <c r="B54" s="535"/>
      <c r="C54" s="531"/>
      <c r="D54" s="542"/>
      <c r="E54" s="535"/>
      <c r="F54" s="542"/>
      <c r="G54" s="535">
        <f t="shared" si="3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5"/>
        <v>0</v>
      </c>
    </row>
    <row r="55" spans="1:26" ht="15" hidden="1" customHeight="1" x14ac:dyDescent="0.25">
      <c r="A55" s="530"/>
      <c r="B55" s="535"/>
      <c r="C55" s="531"/>
      <c r="D55" s="542"/>
      <c r="E55" s="535"/>
      <c r="F55" s="542"/>
      <c r="G55" s="535">
        <f t="shared" si="3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5"/>
        <v>0</v>
      </c>
    </row>
    <row r="56" spans="1:26" ht="15" hidden="1" customHeight="1" x14ac:dyDescent="0.25">
      <c r="A56" s="530"/>
      <c r="B56" s="535"/>
      <c r="C56" s="531"/>
      <c r="D56" s="542"/>
      <c r="E56" s="535"/>
      <c r="F56" s="542"/>
      <c r="G56" s="535">
        <f t="shared" si="3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5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3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5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3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5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3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5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3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5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si="3"/>
        <v>0</v>
      </c>
      <c r="H61" s="542">
        <f t="shared" si="4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5"/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ref="G62:G76" si="7">E62-C62</f>
        <v>0</v>
      </c>
      <c r="H62" s="542">
        <f t="shared" ref="H62:H76" si="8">F62-D62</f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ref="Z62:Z76" si="9">SUM(K62:Y62)</f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7"/>
        <v>0</v>
      </c>
      <c r="H63" s="542">
        <f t="shared" si="8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9"/>
        <v>0</v>
      </c>
    </row>
    <row r="64" spans="1:26" ht="15" hidden="1" customHeight="1" x14ac:dyDescent="0.25">
      <c r="A64" s="530"/>
      <c r="B64" s="535"/>
      <c r="C64" s="531"/>
      <c r="D64" s="542"/>
      <c r="E64" s="535"/>
      <c r="F64" s="542"/>
      <c r="G64" s="535">
        <f t="shared" si="7"/>
        <v>0</v>
      </c>
      <c r="H64" s="542">
        <f t="shared" si="8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9"/>
        <v>0</v>
      </c>
    </row>
    <row r="65" spans="1:26" ht="15" hidden="1" customHeight="1" x14ac:dyDescent="0.25">
      <c r="A65" s="534"/>
      <c r="B65" s="535"/>
      <c r="C65" s="531"/>
      <c r="D65" s="542"/>
      <c r="E65" s="535"/>
      <c r="F65" s="542"/>
      <c r="G65" s="535">
        <f t="shared" si="7"/>
        <v>0</v>
      </c>
      <c r="H65" s="542">
        <f t="shared" si="8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9"/>
        <v>0</v>
      </c>
    </row>
    <row r="66" spans="1:26" ht="15" hidden="1" customHeight="1" x14ac:dyDescent="0.25">
      <c r="A66" s="530"/>
      <c r="B66" s="535"/>
      <c r="C66" s="531"/>
      <c r="D66" s="542"/>
      <c r="E66" s="535"/>
      <c r="F66" s="542"/>
      <c r="G66" s="535">
        <f t="shared" si="7"/>
        <v>0</v>
      </c>
      <c r="H66" s="542">
        <f t="shared" si="8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9"/>
        <v>0</v>
      </c>
    </row>
    <row r="67" spans="1:26" ht="15" hidden="1" customHeight="1" x14ac:dyDescent="0.25">
      <c r="A67" s="534"/>
      <c r="B67" s="535"/>
      <c r="C67" s="531"/>
      <c r="D67" s="542"/>
      <c r="E67" s="535"/>
      <c r="F67" s="542"/>
      <c r="G67" s="535">
        <f t="shared" si="7"/>
        <v>0</v>
      </c>
      <c r="H67" s="542">
        <f t="shared" si="8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9"/>
        <v>0</v>
      </c>
    </row>
    <row r="68" spans="1:26" ht="15" hidden="1" customHeight="1" x14ac:dyDescent="0.25">
      <c r="A68" s="530"/>
      <c r="B68" s="535"/>
      <c r="C68" s="531"/>
      <c r="D68" s="542"/>
      <c r="E68" s="535"/>
      <c r="F68" s="542"/>
      <c r="G68" s="535">
        <f t="shared" si="7"/>
        <v>0</v>
      </c>
      <c r="H68" s="542">
        <f t="shared" si="8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9"/>
        <v>0</v>
      </c>
    </row>
    <row r="69" spans="1:26" ht="15" hidden="1" customHeight="1" x14ac:dyDescent="0.25">
      <c r="A69" s="533"/>
      <c r="B69" s="535"/>
      <c r="C69" s="531"/>
      <c r="D69" s="542"/>
      <c r="E69" s="535"/>
      <c r="F69" s="542"/>
      <c r="G69" s="535">
        <f t="shared" si="7"/>
        <v>0</v>
      </c>
      <c r="H69" s="542">
        <f t="shared" si="8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9"/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7"/>
        <v>0</v>
      </c>
      <c r="H70" s="542">
        <f t="shared" si="8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9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7"/>
        <v>0</v>
      </c>
      <c r="H71" s="542">
        <f t="shared" si="8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9"/>
        <v>0</v>
      </c>
    </row>
    <row r="72" spans="1:26" ht="15" hidden="1" customHeight="1" x14ac:dyDescent="0.25">
      <c r="A72" s="530"/>
      <c r="B72" s="535"/>
      <c r="C72" s="531"/>
      <c r="D72" s="542"/>
      <c r="E72" s="535"/>
      <c r="F72" s="542"/>
      <c r="G72" s="535">
        <f t="shared" si="7"/>
        <v>0</v>
      </c>
      <c r="H72" s="542">
        <f t="shared" si="8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9"/>
        <v>0</v>
      </c>
    </row>
    <row r="73" spans="1:26" ht="15" hidden="1" customHeight="1" x14ac:dyDescent="0.25">
      <c r="A73" s="538"/>
      <c r="B73" s="535"/>
      <c r="C73" s="535"/>
      <c r="D73" s="542"/>
      <c r="E73" s="535"/>
      <c r="F73" s="542"/>
      <c r="G73" s="535">
        <f t="shared" si="7"/>
        <v>0</v>
      </c>
      <c r="H73" s="542">
        <f t="shared" si="8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9"/>
        <v>0</v>
      </c>
    </row>
    <row r="74" spans="1:26" ht="15" hidden="1" customHeight="1" x14ac:dyDescent="0.25">
      <c r="A74" s="535"/>
      <c r="B74" s="535"/>
      <c r="C74" s="535"/>
      <c r="D74" s="542"/>
      <c r="E74" s="535"/>
      <c r="F74" s="542"/>
      <c r="G74" s="535">
        <f t="shared" si="7"/>
        <v>0</v>
      </c>
      <c r="H74" s="542">
        <f t="shared" si="8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9"/>
        <v>0</v>
      </c>
    </row>
    <row r="75" spans="1:26" ht="15" hidden="1" customHeight="1" x14ac:dyDescent="0.25">
      <c r="A75" s="535"/>
      <c r="B75" s="535"/>
      <c r="C75" s="535"/>
      <c r="D75" s="542"/>
      <c r="E75" s="535"/>
      <c r="F75" s="542"/>
      <c r="G75" s="535">
        <f t="shared" si="7"/>
        <v>0</v>
      </c>
      <c r="H75" s="542">
        <f t="shared" si="8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9"/>
        <v>0</v>
      </c>
    </row>
    <row r="76" spans="1:26" ht="15" customHeight="1" x14ac:dyDescent="0.25">
      <c r="A76" s="535"/>
      <c r="B76" s="535"/>
      <c r="C76" s="535"/>
      <c r="D76" s="542"/>
      <c r="E76" s="535"/>
      <c r="F76" s="542"/>
      <c r="G76" s="535">
        <f t="shared" si="7"/>
        <v>0</v>
      </c>
      <c r="H76" s="542">
        <f t="shared" si="8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9"/>
        <v>0</v>
      </c>
    </row>
    <row r="77" spans="1:26" ht="15" customHeight="1" x14ac:dyDescent="0.25">
      <c r="A77" s="443" t="s">
        <v>1221</v>
      </c>
      <c r="B77" s="444"/>
      <c r="C77" s="447">
        <f t="shared" ref="C77:Z77" si="10">SUM(C5:C76)</f>
        <v>208</v>
      </c>
      <c r="D77" s="448">
        <f t="shared" si="10"/>
        <v>293860.5</v>
      </c>
      <c r="E77" s="447">
        <f t="shared" si="10"/>
        <v>208</v>
      </c>
      <c r="F77" s="448">
        <f t="shared" si="10"/>
        <v>295873</v>
      </c>
      <c r="G77" s="447">
        <f t="shared" si="10"/>
        <v>0</v>
      </c>
      <c r="H77" s="448">
        <f t="shared" si="10"/>
        <v>2012.5</v>
      </c>
      <c r="I77" s="448">
        <f t="shared" si="10"/>
        <v>0</v>
      </c>
      <c r="J77" s="447">
        <f t="shared" si="10"/>
        <v>101430</v>
      </c>
      <c r="K77" s="448">
        <f t="shared" si="10"/>
        <v>0</v>
      </c>
      <c r="L77" s="447">
        <f t="shared" si="10"/>
        <v>0</v>
      </c>
      <c r="M77" s="447">
        <f t="shared" si="10"/>
        <v>0</v>
      </c>
      <c r="N77" s="447">
        <f t="shared" si="10"/>
        <v>0</v>
      </c>
      <c r="O77" s="447">
        <f t="shared" si="10"/>
        <v>0</v>
      </c>
      <c r="P77" s="447">
        <f t="shared" si="10"/>
        <v>0</v>
      </c>
      <c r="Q77" s="447">
        <f t="shared" si="10"/>
        <v>0</v>
      </c>
      <c r="R77" s="447">
        <f t="shared" si="10"/>
        <v>0</v>
      </c>
      <c r="S77" s="447">
        <f t="shared" si="10"/>
        <v>0</v>
      </c>
      <c r="T77" s="447">
        <f t="shared" si="10"/>
        <v>0</v>
      </c>
      <c r="U77" s="447">
        <f t="shared" si="10"/>
        <v>0</v>
      </c>
      <c r="V77" s="447">
        <f t="shared" si="10"/>
        <v>0</v>
      </c>
      <c r="W77" s="447">
        <f t="shared" si="10"/>
        <v>0</v>
      </c>
      <c r="X77" s="447">
        <f t="shared" si="10"/>
        <v>0</v>
      </c>
      <c r="Y77" s="447">
        <f t="shared" si="10"/>
        <v>0</v>
      </c>
      <c r="Z77" s="447">
        <f t="shared" si="10"/>
        <v>0</v>
      </c>
    </row>
    <row r="79" spans="1:26" x14ac:dyDescent="0.25">
      <c r="A79" s="739" t="s">
        <v>1227</v>
      </c>
      <c r="B79" s="739"/>
    </row>
    <row r="80" spans="1:26" ht="30" x14ac:dyDescent="0.25">
      <c r="A80" s="547" t="s">
        <v>1</v>
      </c>
      <c r="B80" s="547"/>
      <c r="C80" s="548" t="s">
        <v>1222</v>
      </c>
      <c r="D80" s="548" t="s">
        <v>1223</v>
      </c>
      <c r="E80" s="548" t="s">
        <v>392</v>
      </c>
      <c r="F80" s="549" t="s">
        <v>2</v>
      </c>
      <c r="G80" s="550" t="s">
        <v>1225</v>
      </c>
      <c r="H80" s="551" t="s">
        <v>1224</v>
      </c>
      <c r="I80" s="551" t="s">
        <v>1498</v>
      </c>
      <c r="J80" s="551" t="s">
        <v>94</v>
      </c>
      <c r="K80" s="552" t="s">
        <v>681</v>
      </c>
      <c r="L80" s="552" t="s">
        <v>1496</v>
      </c>
      <c r="M80" s="552" t="s">
        <v>1497</v>
      </c>
      <c r="N80" s="552" t="s">
        <v>682</v>
      </c>
      <c r="O80" s="552" t="s">
        <v>683</v>
      </c>
      <c r="P80" s="552" t="s">
        <v>87</v>
      </c>
      <c r="Q80" s="552" t="s">
        <v>684</v>
      </c>
      <c r="R80" s="552" t="s">
        <v>685</v>
      </c>
      <c r="S80" s="552" t="s">
        <v>690</v>
      </c>
      <c r="T80" s="552" t="s">
        <v>686</v>
      </c>
      <c r="U80" s="552" t="s">
        <v>687</v>
      </c>
      <c r="V80" s="552" t="s">
        <v>688</v>
      </c>
      <c r="W80" s="552" t="s">
        <v>689</v>
      </c>
      <c r="X80" s="552" t="s">
        <v>138</v>
      </c>
      <c r="Y80" s="552" t="s">
        <v>1385</v>
      </c>
      <c r="Z80" s="552" t="s">
        <v>1238</v>
      </c>
    </row>
    <row r="81" spans="1:26" ht="15" customHeight="1" x14ac:dyDescent="0.25">
      <c r="A81" s="553" t="s">
        <v>1644</v>
      </c>
      <c r="B81" s="496" t="s">
        <v>115</v>
      </c>
      <c r="C81" s="497">
        <v>42564</v>
      </c>
      <c r="D81" s="498">
        <v>42654</v>
      </c>
      <c r="E81" s="499">
        <v>88</v>
      </c>
      <c r="F81" s="498">
        <v>42654</v>
      </c>
      <c r="G81" s="499">
        <v>6</v>
      </c>
      <c r="H81" s="554">
        <v>9858</v>
      </c>
      <c r="I81" s="554">
        <v>5000</v>
      </c>
      <c r="J81" s="554">
        <v>3943</v>
      </c>
      <c r="K81" s="496">
        <v>1</v>
      </c>
      <c r="L81" s="496">
        <v>1</v>
      </c>
      <c r="M81" s="496"/>
      <c r="N81" s="496">
        <v>1</v>
      </c>
      <c r="O81" s="496">
        <v>1</v>
      </c>
      <c r="P81" s="496"/>
      <c r="Q81" s="496">
        <v>1</v>
      </c>
      <c r="R81" s="496"/>
      <c r="S81" s="496">
        <v>1</v>
      </c>
      <c r="T81" s="496"/>
      <c r="U81" s="496"/>
      <c r="V81" s="496"/>
      <c r="W81" s="496"/>
      <c r="X81" s="496"/>
      <c r="Y81" s="496"/>
      <c r="Z81" s="496">
        <f t="shared" ref="Z81" si="11">SUM(K81:Y81)</f>
        <v>6</v>
      </c>
    </row>
    <row r="82" spans="1:26" ht="15" customHeight="1" x14ac:dyDescent="0.25">
      <c r="A82" s="553" t="s">
        <v>1645</v>
      </c>
      <c r="B82" s="496" t="s">
        <v>100</v>
      </c>
      <c r="C82" s="497">
        <v>42586</v>
      </c>
      <c r="D82" s="498">
        <v>42655</v>
      </c>
      <c r="E82" s="499">
        <v>68</v>
      </c>
      <c r="F82" s="498">
        <v>42614</v>
      </c>
      <c r="G82" s="499">
        <v>5</v>
      </c>
      <c r="H82" s="554">
        <v>8215</v>
      </c>
      <c r="I82" s="554">
        <v>5000</v>
      </c>
      <c r="J82" s="554">
        <v>3286</v>
      </c>
      <c r="K82" s="496">
        <v>1</v>
      </c>
      <c r="L82" s="496"/>
      <c r="M82" s="496"/>
      <c r="N82" s="496">
        <v>1</v>
      </c>
      <c r="O82" s="496"/>
      <c r="P82" s="496">
        <v>1</v>
      </c>
      <c r="Q82" s="496">
        <v>1</v>
      </c>
      <c r="R82" s="496">
        <v>1</v>
      </c>
      <c r="S82" s="496"/>
      <c r="T82" s="496"/>
      <c r="U82" s="496"/>
      <c r="V82" s="496"/>
      <c r="W82" s="496"/>
      <c r="X82" s="496"/>
      <c r="Y82" s="496"/>
      <c r="Z82" s="496">
        <f t="shared" ref="Z82:Z88" si="12">SUM(K82:Y82)</f>
        <v>5</v>
      </c>
    </row>
    <row r="83" spans="1:26" ht="15" customHeight="1" x14ac:dyDescent="0.25">
      <c r="A83" s="538"/>
      <c r="B83" s="535"/>
      <c r="C83" s="487"/>
      <c r="D83" s="488"/>
      <c r="E83" s="486"/>
      <c r="F83" s="488"/>
      <c r="G83" s="486"/>
      <c r="H83" s="539"/>
      <c r="I83" s="539"/>
      <c r="J83" s="539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12"/>
        <v>0</v>
      </c>
    </row>
    <row r="84" spans="1:26" ht="15.6" customHeight="1" x14ac:dyDescent="0.25">
      <c r="A84" s="538"/>
      <c r="B84" s="535"/>
      <c r="C84" s="487"/>
      <c r="D84" s="488"/>
      <c r="E84" s="486"/>
      <c r="F84" s="488"/>
      <c r="G84" s="486"/>
      <c r="H84" s="539"/>
      <c r="I84" s="539"/>
      <c r="J84" s="539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5">
        <f t="shared" si="12"/>
        <v>0</v>
      </c>
    </row>
    <row r="85" spans="1:26" ht="15" customHeight="1" x14ac:dyDescent="0.25">
      <c r="A85" s="538"/>
      <c r="B85" s="535"/>
      <c r="C85" s="487"/>
      <c r="D85" s="488"/>
      <c r="E85" s="486"/>
      <c r="F85" s="488"/>
      <c r="G85" s="486"/>
      <c r="H85" s="539"/>
      <c r="I85" s="539"/>
      <c r="J85" s="539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5">
        <f t="shared" si="12"/>
        <v>0</v>
      </c>
    </row>
    <row r="86" spans="1:26" ht="15" customHeight="1" x14ac:dyDescent="0.25">
      <c r="A86" s="538"/>
      <c r="B86" s="535"/>
      <c r="C86" s="487"/>
      <c r="D86" s="488"/>
      <c r="E86" s="486"/>
      <c r="F86" s="488"/>
      <c r="G86" s="486"/>
      <c r="H86" s="539"/>
      <c r="I86" s="539"/>
      <c r="J86" s="539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>
        <f t="shared" si="12"/>
        <v>0</v>
      </c>
    </row>
    <row r="87" spans="1:26" ht="15" customHeight="1" x14ac:dyDescent="0.25">
      <c r="A87" s="538"/>
      <c r="B87" s="535"/>
      <c r="C87" s="487"/>
      <c r="D87" s="488"/>
      <c r="E87" s="486"/>
      <c r="F87" s="488"/>
      <c r="G87" s="486"/>
      <c r="H87" s="539"/>
      <c r="I87" s="456"/>
      <c r="J87" s="456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5">
        <f t="shared" si="12"/>
        <v>0</v>
      </c>
    </row>
    <row r="88" spans="1:26" ht="15" customHeight="1" x14ac:dyDescent="0.25">
      <c r="A88" s="538"/>
      <c r="B88" s="535"/>
      <c r="C88" s="487"/>
      <c r="D88" s="488"/>
      <c r="E88" s="486"/>
      <c r="F88" s="488"/>
      <c r="G88" s="486"/>
      <c r="H88" s="539"/>
      <c r="I88" s="456"/>
      <c r="J88" s="456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>
        <f t="shared" si="12"/>
        <v>0</v>
      </c>
    </row>
    <row r="89" spans="1:26" ht="15" customHeight="1" x14ac:dyDescent="0.25">
      <c r="A89" s="443" t="s">
        <v>1226</v>
      </c>
      <c r="B89" s="444"/>
      <c r="C89" s="445"/>
      <c r="D89" s="446"/>
      <c r="E89" s="447"/>
      <c r="F89" s="446"/>
      <c r="G89" s="447">
        <f>SUM(G81:G88)</f>
        <v>11</v>
      </c>
      <c r="H89" s="448">
        <f>SUM(H81:H88)</f>
        <v>18073</v>
      </c>
      <c r="I89" s="448">
        <f t="shared" ref="I89:J89" si="13">SUM(I81:I88)</f>
        <v>10000</v>
      </c>
      <c r="J89" s="448">
        <f t="shared" si="13"/>
        <v>7229</v>
      </c>
      <c r="K89" s="447">
        <f>SUM(K81:K88)</f>
        <v>2</v>
      </c>
      <c r="L89" s="447">
        <f t="shared" ref="L89:Z89" si="14">SUM(L81:L88)</f>
        <v>1</v>
      </c>
      <c r="M89" s="447">
        <f t="shared" si="14"/>
        <v>0</v>
      </c>
      <c r="N89" s="447">
        <f t="shared" si="14"/>
        <v>2</v>
      </c>
      <c r="O89" s="447">
        <f t="shared" si="14"/>
        <v>1</v>
      </c>
      <c r="P89" s="447">
        <f t="shared" si="14"/>
        <v>1</v>
      </c>
      <c r="Q89" s="447">
        <f t="shared" si="14"/>
        <v>2</v>
      </c>
      <c r="R89" s="447">
        <f t="shared" si="14"/>
        <v>1</v>
      </c>
      <c r="S89" s="447">
        <f t="shared" si="14"/>
        <v>1</v>
      </c>
      <c r="T89" s="447">
        <f t="shared" si="14"/>
        <v>0</v>
      </c>
      <c r="U89" s="447">
        <f t="shared" si="14"/>
        <v>0</v>
      </c>
      <c r="V89" s="447">
        <f t="shared" si="14"/>
        <v>0</v>
      </c>
      <c r="W89" s="447">
        <f t="shared" si="14"/>
        <v>0</v>
      </c>
      <c r="X89" s="447">
        <f t="shared" si="14"/>
        <v>0</v>
      </c>
      <c r="Y89" s="447">
        <f t="shared" si="14"/>
        <v>0</v>
      </c>
      <c r="Z89" s="447">
        <f t="shared" si="14"/>
        <v>11</v>
      </c>
    </row>
    <row r="90" spans="1:26" ht="15" customHeight="1" x14ac:dyDescent="0.25">
      <c r="A90" s="428"/>
      <c r="B90" s="422"/>
      <c r="C90" s="422"/>
      <c r="D90" s="429"/>
      <c r="E90" s="422"/>
      <c r="F90" s="429"/>
      <c r="G90" s="433"/>
      <c r="H90" s="422"/>
      <c r="I90" s="422"/>
      <c r="J90" s="422"/>
    </row>
    <row r="91" spans="1:26" x14ac:dyDescent="0.25">
      <c r="A91" s="739" t="s">
        <v>1228</v>
      </c>
      <c r="B91" s="739"/>
      <c r="G91" s="420"/>
    </row>
    <row r="92" spans="1:26" ht="30" x14ac:dyDescent="0.25">
      <c r="A92" s="558" t="s">
        <v>1</v>
      </c>
      <c r="B92" s="558" t="s">
        <v>59</v>
      </c>
      <c r="C92" s="425" t="s">
        <v>1222</v>
      </c>
      <c r="D92" s="425" t="s">
        <v>1223</v>
      </c>
      <c r="E92" s="425" t="s">
        <v>392</v>
      </c>
      <c r="F92" s="426" t="s">
        <v>2</v>
      </c>
      <c r="G92" s="432" t="s">
        <v>1225</v>
      </c>
      <c r="H92" s="427" t="s">
        <v>1224</v>
      </c>
      <c r="I92" s="427" t="s">
        <v>1498</v>
      </c>
      <c r="J92" s="427" t="s">
        <v>94</v>
      </c>
      <c r="K92" s="424" t="s">
        <v>681</v>
      </c>
      <c r="L92" s="424" t="s">
        <v>1496</v>
      </c>
      <c r="M92" s="424" t="s">
        <v>1497</v>
      </c>
      <c r="N92" s="424" t="s">
        <v>682</v>
      </c>
      <c r="O92" s="424" t="s">
        <v>683</v>
      </c>
      <c r="P92" s="424" t="s">
        <v>87</v>
      </c>
      <c r="Q92" s="424" t="s">
        <v>684</v>
      </c>
      <c r="R92" s="424" t="s">
        <v>685</v>
      </c>
      <c r="S92" s="424" t="s">
        <v>690</v>
      </c>
      <c r="T92" s="424" t="s">
        <v>686</v>
      </c>
      <c r="U92" s="424" t="s">
        <v>687</v>
      </c>
      <c r="V92" s="424" t="s">
        <v>688</v>
      </c>
      <c r="W92" s="424" t="s">
        <v>689</v>
      </c>
      <c r="X92" s="424" t="s">
        <v>138</v>
      </c>
      <c r="Y92" s="424" t="s">
        <v>1385</v>
      </c>
      <c r="Z92" s="424" t="s">
        <v>1238</v>
      </c>
    </row>
    <row r="93" spans="1:26" ht="15" customHeight="1" x14ac:dyDescent="0.25">
      <c r="A93" s="538" t="s">
        <v>1634</v>
      </c>
      <c r="B93" s="535" t="s">
        <v>1620</v>
      </c>
      <c r="C93" s="487">
        <v>42669</v>
      </c>
      <c r="D93" s="488">
        <v>42676</v>
      </c>
      <c r="E93" s="486">
        <v>6</v>
      </c>
      <c r="F93" s="488">
        <v>42674</v>
      </c>
      <c r="G93" s="486">
        <v>1</v>
      </c>
      <c r="H93" s="539">
        <v>1643</v>
      </c>
      <c r="I93" s="456" t="s">
        <v>561</v>
      </c>
      <c r="J93" s="456">
        <v>657</v>
      </c>
      <c r="K93" s="535"/>
      <c r="L93" s="535"/>
      <c r="M93" s="535"/>
      <c r="N93" s="535"/>
      <c r="O93" s="535"/>
      <c r="P93" s="535">
        <v>1</v>
      </c>
      <c r="Q93" s="535"/>
      <c r="R93" s="535"/>
      <c r="S93" s="535"/>
      <c r="T93" s="535"/>
      <c r="U93" s="535"/>
      <c r="V93" s="535"/>
      <c r="W93" s="535"/>
      <c r="X93" s="535"/>
      <c r="Y93" s="535"/>
      <c r="Z93" s="535">
        <f t="shared" ref="Z93:Z100" si="15">SUM(K93:Y93)</f>
        <v>1</v>
      </c>
    </row>
    <row r="94" spans="1:26" s="457" customFormat="1" ht="15" customHeight="1" x14ac:dyDescent="0.25">
      <c r="A94" s="538"/>
      <c r="B94" s="452"/>
      <c r="C94" s="453"/>
      <c r="D94" s="454"/>
      <c r="E94" s="455"/>
      <c r="F94" s="454"/>
      <c r="G94" s="455"/>
      <c r="H94" s="456"/>
      <c r="I94" s="456"/>
      <c r="J94" s="456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535">
        <f t="shared" si="15"/>
        <v>0</v>
      </c>
    </row>
    <row r="95" spans="1:26" s="457" customFormat="1" ht="15" customHeight="1" x14ac:dyDescent="0.25">
      <c r="A95" s="538"/>
      <c r="B95" s="452"/>
      <c r="C95" s="453"/>
      <c r="D95" s="454"/>
      <c r="E95" s="455"/>
      <c r="F95" s="454"/>
      <c r="G95" s="455"/>
      <c r="H95" s="456"/>
      <c r="I95" s="456"/>
      <c r="J95" s="456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535">
        <f t="shared" si="15"/>
        <v>0</v>
      </c>
    </row>
    <row r="96" spans="1:26" s="457" customFormat="1" ht="15" customHeight="1" x14ac:dyDescent="0.25">
      <c r="A96" s="538"/>
      <c r="B96" s="452"/>
      <c r="C96" s="453"/>
      <c r="D96" s="454"/>
      <c r="E96" s="455"/>
      <c r="F96" s="454"/>
      <c r="G96" s="455"/>
      <c r="H96" s="456"/>
      <c r="I96" s="456"/>
      <c r="J96" s="456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535">
        <f t="shared" si="15"/>
        <v>0</v>
      </c>
    </row>
    <row r="97" spans="1:26" s="457" customFormat="1" ht="15" customHeight="1" x14ac:dyDescent="0.25">
      <c r="A97" s="538"/>
      <c r="B97" s="452"/>
      <c r="C97" s="453"/>
      <c r="D97" s="454"/>
      <c r="E97" s="455"/>
      <c r="F97" s="454"/>
      <c r="G97" s="455"/>
      <c r="H97" s="456"/>
      <c r="I97" s="456"/>
      <c r="J97" s="456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535">
        <f t="shared" si="15"/>
        <v>0</v>
      </c>
    </row>
    <row r="98" spans="1:26" s="457" customFormat="1" ht="15" customHeight="1" x14ac:dyDescent="0.25">
      <c r="A98" s="538"/>
      <c r="B98" s="452"/>
      <c r="C98" s="453"/>
      <c r="D98" s="454"/>
      <c r="E98" s="455"/>
      <c r="F98" s="454"/>
      <c r="G98" s="455"/>
      <c r="H98" s="456"/>
      <c r="I98" s="456"/>
      <c r="J98" s="456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535">
        <f t="shared" si="15"/>
        <v>0</v>
      </c>
    </row>
    <row r="99" spans="1:26" s="457" customFormat="1" ht="15" customHeight="1" x14ac:dyDescent="0.25">
      <c r="A99" s="541"/>
      <c r="B99" s="452"/>
      <c r="C99" s="453"/>
      <c r="D99" s="454"/>
      <c r="E99" s="455"/>
      <c r="F99" s="454"/>
      <c r="G99" s="455"/>
      <c r="H99" s="456"/>
      <c r="I99" s="456"/>
      <c r="J99" s="456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535">
        <f t="shared" si="15"/>
        <v>0</v>
      </c>
    </row>
    <row r="100" spans="1:26" s="457" customFormat="1" ht="15" customHeight="1" x14ac:dyDescent="0.25">
      <c r="A100" s="541"/>
      <c r="B100" s="452"/>
      <c r="C100" s="453"/>
      <c r="D100" s="454"/>
      <c r="E100" s="455"/>
      <c r="F100" s="454"/>
      <c r="G100" s="455"/>
      <c r="H100" s="456"/>
      <c r="I100" s="456"/>
      <c r="J100" s="456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535">
        <f t="shared" si="15"/>
        <v>0</v>
      </c>
    </row>
    <row r="101" spans="1:26" ht="15" customHeight="1" x14ac:dyDescent="0.25">
      <c r="A101" s="443" t="s">
        <v>450</v>
      </c>
      <c r="B101" s="444"/>
      <c r="C101" s="445"/>
      <c r="D101" s="446"/>
      <c r="E101" s="447"/>
      <c r="F101" s="446"/>
      <c r="G101" s="447">
        <f>SUM(G93:G100)</f>
        <v>1</v>
      </c>
      <c r="H101" s="448">
        <f>SUM(H93:H100)</f>
        <v>1643</v>
      </c>
      <c r="I101" s="448">
        <f t="shared" ref="I101:J101" si="16">SUM(I93:I100)</f>
        <v>0</v>
      </c>
      <c r="J101" s="448">
        <f t="shared" si="16"/>
        <v>657</v>
      </c>
      <c r="K101" s="447">
        <f>SUM(K93:K100)</f>
        <v>0</v>
      </c>
      <c r="L101" s="447">
        <f t="shared" ref="L101:Z101" si="17">SUM(L93:L100)</f>
        <v>0</v>
      </c>
      <c r="M101" s="447">
        <f t="shared" si="17"/>
        <v>0</v>
      </c>
      <c r="N101" s="447">
        <f t="shared" si="17"/>
        <v>0</v>
      </c>
      <c r="O101" s="447">
        <f t="shared" si="17"/>
        <v>0</v>
      </c>
      <c r="P101" s="447">
        <f t="shared" si="17"/>
        <v>1</v>
      </c>
      <c r="Q101" s="447">
        <f t="shared" si="17"/>
        <v>0</v>
      </c>
      <c r="R101" s="447">
        <f t="shared" si="17"/>
        <v>0</v>
      </c>
      <c r="S101" s="447">
        <f t="shared" si="17"/>
        <v>0</v>
      </c>
      <c r="T101" s="447">
        <f t="shared" si="17"/>
        <v>0</v>
      </c>
      <c r="U101" s="447">
        <f t="shared" si="17"/>
        <v>0</v>
      </c>
      <c r="V101" s="447">
        <f t="shared" si="17"/>
        <v>0</v>
      </c>
      <c r="W101" s="447">
        <f t="shared" si="17"/>
        <v>0</v>
      </c>
      <c r="X101" s="447">
        <f t="shared" si="17"/>
        <v>0</v>
      </c>
      <c r="Y101" s="447">
        <f t="shared" si="17"/>
        <v>0</v>
      </c>
      <c r="Z101" s="447">
        <f t="shared" si="17"/>
        <v>1</v>
      </c>
    </row>
    <row r="103" spans="1:26" x14ac:dyDescent="0.25">
      <c r="A103" s="739" t="s">
        <v>1229</v>
      </c>
      <c r="B103" s="739"/>
    </row>
    <row r="104" spans="1:26" ht="30" x14ac:dyDescent="0.25">
      <c r="A104" s="558" t="s">
        <v>1</v>
      </c>
      <c r="B104" s="558" t="s">
        <v>59</v>
      </c>
      <c r="C104" s="425"/>
      <c r="D104" s="425"/>
      <c r="E104" s="425"/>
      <c r="F104" s="426"/>
      <c r="G104" s="432" t="s">
        <v>1225</v>
      </c>
      <c r="H104" s="427" t="s">
        <v>1224</v>
      </c>
      <c r="I104" s="427" t="s">
        <v>1498</v>
      </c>
      <c r="J104" s="427" t="s">
        <v>94</v>
      </c>
      <c r="K104" s="424" t="s">
        <v>681</v>
      </c>
      <c r="L104" s="424" t="s">
        <v>1496</v>
      </c>
      <c r="M104" s="424" t="s">
        <v>1497</v>
      </c>
      <c r="N104" s="424" t="s">
        <v>682</v>
      </c>
      <c r="O104" s="424" t="s">
        <v>683</v>
      </c>
      <c r="P104" s="424" t="s">
        <v>87</v>
      </c>
      <c r="Q104" s="424" t="s">
        <v>684</v>
      </c>
      <c r="R104" s="424" t="s">
        <v>685</v>
      </c>
      <c r="S104" s="424" t="s">
        <v>690</v>
      </c>
      <c r="T104" s="424" t="s">
        <v>686</v>
      </c>
      <c r="U104" s="424" t="s">
        <v>687</v>
      </c>
      <c r="V104" s="424" t="s">
        <v>688</v>
      </c>
      <c r="W104" s="424" t="s">
        <v>689</v>
      </c>
      <c r="X104" s="424" t="s">
        <v>138</v>
      </c>
      <c r="Y104" s="424" t="s">
        <v>1385</v>
      </c>
      <c r="Z104" s="424" t="s">
        <v>1238</v>
      </c>
    </row>
    <row r="105" spans="1:26" s="457" customFormat="1" ht="15" customHeight="1" x14ac:dyDescent="0.25">
      <c r="A105" s="538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/>
    </row>
    <row r="106" spans="1:26" ht="15" customHeight="1" x14ac:dyDescent="0.25">
      <c r="A106" s="538"/>
      <c r="B106" s="535"/>
      <c r="C106" s="487"/>
      <c r="D106" s="488"/>
      <c r="E106" s="486"/>
      <c r="F106" s="488"/>
      <c r="G106" s="486"/>
      <c r="H106" s="539"/>
      <c r="I106" s="539"/>
      <c r="J106" s="539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535"/>
      <c r="Z106" s="535"/>
    </row>
    <row r="107" spans="1:26" ht="15" customHeight="1" x14ac:dyDescent="0.25">
      <c r="A107" s="538"/>
      <c r="B107" s="535"/>
      <c r="C107" s="487"/>
      <c r="D107" s="488"/>
      <c r="E107" s="486"/>
      <c r="F107" s="488"/>
      <c r="G107" s="486"/>
      <c r="H107" s="539"/>
      <c r="I107" s="539"/>
      <c r="J107" s="539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535"/>
      <c r="Z107" s="535"/>
    </row>
    <row r="108" spans="1:26" ht="15" customHeight="1" x14ac:dyDescent="0.25">
      <c r="A108" s="443" t="s">
        <v>1230</v>
      </c>
      <c r="B108" s="444"/>
      <c r="C108" s="445"/>
      <c r="D108" s="446"/>
      <c r="E108" s="447"/>
      <c r="F108" s="446"/>
      <c r="G108" s="447">
        <f>SUM(G105:G107)</f>
        <v>0</v>
      </c>
      <c r="H108" s="448">
        <f>SUM(H105:H107)</f>
        <v>0</v>
      </c>
      <c r="I108" s="448">
        <f t="shared" ref="I108:J108" si="18">SUM(I105:I107)</f>
        <v>0</v>
      </c>
      <c r="J108" s="448">
        <f t="shared" si="18"/>
        <v>0</v>
      </c>
      <c r="K108" s="447">
        <f>SUM(K105:K107)</f>
        <v>0</v>
      </c>
      <c r="L108" s="447">
        <f t="shared" ref="L108:Z108" si="19">SUM(L105:L107)</f>
        <v>0</v>
      </c>
      <c r="M108" s="447">
        <f t="shared" si="19"/>
        <v>0</v>
      </c>
      <c r="N108" s="447">
        <f t="shared" si="19"/>
        <v>0</v>
      </c>
      <c r="O108" s="447">
        <f t="shared" si="19"/>
        <v>0</v>
      </c>
      <c r="P108" s="447">
        <f t="shared" si="19"/>
        <v>0</v>
      </c>
      <c r="Q108" s="447">
        <f t="shared" si="19"/>
        <v>0</v>
      </c>
      <c r="R108" s="447">
        <f t="shared" si="19"/>
        <v>0</v>
      </c>
      <c r="S108" s="447">
        <f t="shared" si="19"/>
        <v>0</v>
      </c>
      <c r="T108" s="447">
        <f t="shared" si="19"/>
        <v>0</v>
      </c>
      <c r="U108" s="447">
        <f t="shared" si="19"/>
        <v>0</v>
      </c>
      <c r="V108" s="447">
        <f t="shared" si="19"/>
        <v>0</v>
      </c>
      <c r="W108" s="447">
        <f t="shared" si="19"/>
        <v>0</v>
      </c>
      <c r="X108" s="447">
        <f t="shared" si="19"/>
        <v>0</v>
      </c>
      <c r="Y108" s="447">
        <f t="shared" si="19"/>
        <v>0</v>
      </c>
      <c r="Z108" s="447">
        <f t="shared" si="19"/>
        <v>0</v>
      </c>
    </row>
    <row r="110" spans="1:26" x14ac:dyDescent="0.25">
      <c r="A110" s="739" t="s">
        <v>1231</v>
      </c>
      <c r="B110" s="739"/>
    </row>
    <row r="111" spans="1:26" ht="30" x14ac:dyDescent="0.25">
      <c r="A111" s="558" t="s">
        <v>1</v>
      </c>
      <c r="B111" s="558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ht="15" customHeight="1" x14ac:dyDescent="0.25">
      <c r="A112" s="538" t="s">
        <v>1648</v>
      </c>
      <c r="B112" s="535" t="s">
        <v>1506</v>
      </c>
      <c r="C112" s="487"/>
      <c r="D112" s="488"/>
      <c r="E112" s="486"/>
      <c r="F112" s="488"/>
      <c r="G112" s="486">
        <v>-2</v>
      </c>
      <c r="H112" s="539">
        <v>-3003</v>
      </c>
      <c r="I112" s="539"/>
      <c r="J112" s="539">
        <f>H112*0.4</f>
        <v>-1201.2</v>
      </c>
      <c r="K112" s="535">
        <v>-1</v>
      </c>
      <c r="L112" s="535"/>
      <c r="M112" s="535"/>
      <c r="N112" s="535"/>
      <c r="O112" s="535"/>
      <c r="P112" s="535">
        <v>-1</v>
      </c>
      <c r="Q112" s="535"/>
      <c r="R112" s="535"/>
      <c r="S112" s="535"/>
      <c r="T112" s="535"/>
      <c r="U112" s="535"/>
      <c r="V112" s="535"/>
      <c r="W112" s="535"/>
      <c r="X112" s="535"/>
      <c r="Y112" s="535"/>
      <c r="Z112" s="535">
        <f t="shared" ref="Z112:Z114" si="20">SUM(K112:Y112)</f>
        <v>-2</v>
      </c>
    </row>
    <row r="113" spans="1:26" ht="15" customHeight="1" x14ac:dyDescent="0.25">
      <c r="A113" s="538"/>
      <c r="B113" s="535"/>
      <c r="C113" s="487"/>
      <c r="D113" s="488"/>
      <c r="E113" s="486"/>
      <c r="F113" s="488"/>
      <c r="G113" s="486"/>
      <c r="H113" s="539"/>
      <c r="I113" s="539"/>
      <c r="J113" s="539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20"/>
        <v>0</v>
      </c>
    </row>
    <row r="114" spans="1:26" ht="15" customHeight="1" x14ac:dyDescent="0.25">
      <c r="A114" s="538"/>
      <c r="B114" s="535"/>
      <c r="C114" s="487"/>
      <c r="D114" s="488"/>
      <c r="E114" s="486"/>
      <c r="F114" s="488"/>
      <c r="G114" s="486"/>
      <c r="H114" s="539"/>
      <c r="I114" s="539"/>
      <c r="J114" s="539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20"/>
        <v>0</v>
      </c>
    </row>
    <row r="115" spans="1:26" ht="15" customHeight="1" x14ac:dyDescent="0.25">
      <c r="A115" s="443" t="s">
        <v>1230</v>
      </c>
      <c r="B115" s="444"/>
      <c r="C115" s="445"/>
      <c r="D115" s="446"/>
      <c r="E115" s="447"/>
      <c r="F115" s="446"/>
      <c r="G115" s="447">
        <f>SUM(G112:G114)</f>
        <v>-2</v>
      </c>
      <c r="H115" s="448">
        <f>SUM(H112:H114)</f>
        <v>-3003</v>
      </c>
      <c r="I115" s="448">
        <f t="shared" ref="I115:J115" si="21">SUM(I112:I114)</f>
        <v>0</v>
      </c>
      <c r="J115" s="448">
        <f t="shared" si="21"/>
        <v>-1201.2</v>
      </c>
      <c r="K115" s="447">
        <f>SUM(K112:K114)</f>
        <v>-1</v>
      </c>
      <c r="L115" s="447">
        <f t="shared" ref="L115:Z115" si="22">SUM(L112:L114)</f>
        <v>0</v>
      </c>
      <c r="M115" s="447">
        <f t="shared" si="22"/>
        <v>0</v>
      </c>
      <c r="N115" s="447">
        <f t="shared" si="22"/>
        <v>0</v>
      </c>
      <c r="O115" s="447">
        <f t="shared" si="22"/>
        <v>0</v>
      </c>
      <c r="P115" s="447">
        <f t="shared" si="22"/>
        <v>-1</v>
      </c>
      <c r="Q115" s="447">
        <f t="shared" si="22"/>
        <v>0</v>
      </c>
      <c r="R115" s="447">
        <f t="shared" si="22"/>
        <v>0</v>
      </c>
      <c r="S115" s="447">
        <f t="shared" si="22"/>
        <v>0</v>
      </c>
      <c r="T115" s="447">
        <f t="shared" si="22"/>
        <v>0</v>
      </c>
      <c r="U115" s="447">
        <f t="shared" si="22"/>
        <v>0</v>
      </c>
      <c r="V115" s="447">
        <f t="shared" si="22"/>
        <v>0</v>
      </c>
      <c r="W115" s="447">
        <f t="shared" si="22"/>
        <v>0</v>
      </c>
      <c r="X115" s="447">
        <f t="shared" si="22"/>
        <v>0</v>
      </c>
      <c r="Y115" s="447">
        <f t="shared" si="22"/>
        <v>0</v>
      </c>
      <c r="Z115" s="447">
        <f t="shared" si="22"/>
        <v>-2</v>
      </c>
    </row>
    <row r="116" spans="1:26" ht="15.75" thickBot="1" x14ac:dyDescent="0.3"/>
    <row r="117" spans="1:26" ht="15.75" thickBot="1" x14ac:dyDescent="0.3">
      <c r="A117" s="436" t="s">
        <v>1232</v>
      </c>
      <c r="B117" s="434"/>
      <c r="C117" s="434"/>
      <c r="D117" s="434"/>
      <c r="E117" s="434"/>
      <c r="F117" s="434"/>
      <c r="G117" s="437">
        <f t="shared" ref="G117:Y117" si="23">G77+G89+G101+G108+G115</f>
        <v>10</v>
      </c>
      <c r="H117" s="438">
        <f t="shared" si="23"/>
        <v>18725.5</v>
      </c>
      <c r="I117" s="438">
        <f t="shared" si="23"/>
        <v>10000</v>
      </c>
      <c r="J117" s="438">
        <f t="shared" si="23"/>
        <v>108114.8</v>
      </c>
      <c r="K117" s="450">
        <f t="shared" si="23"/>
        <v>1</v>
      </c>
      <c r="L117" s="450">
        <f t="shared" si="23"/>
        <v>1</v>
      </c>
      <c r="M117" s="450">
        <f t="shared" si="23"/>
        <v>0</v>
      </c>
      <c r="N117" s="450">
        <f t="shared" si="23"/>
        <v>2</v>
      </c>
      <c r="O117" s="450">
        <f t="shared" si="23"/>
        <v>1</v>
      </c>
      <c r="P117" s="450">
        <f t="shared" si="23"/>
        <v>1</v>
      </c>
      <c r="Q117" s="450">
        <f t="shared" si="23"/>
        <v>2</v>
      </c>
      <c r="R117" s="450">
        <f t="shared" si="23"/>
        <v>1</v>
      </c>
      <c r="S117" s="450">
        <f t="shared" si="23"/>
        <v>1</v>
      </c>
      <c r="T117" s="450">
        <f t="shared" si="23"/>
        <v>0</v>
      </c>
      <c r="U117" s="450">
        <f t="shared" si="23"/>
        <v>0</v>
      </c>
      <c r="V117" s="450">
        <f t="shared" si="23"/>
        <v>0</v>
      </c>
      <c r="W117" s="450">
        <f t="shared" si="23"/>
        <v>0</v>
      </c>
      <c r="X117" s="450">
        <f t="shared" si="23"/>
        <v>0</v>
      </c>
      <c r="Y117" s="450">
        <f t="shared" si="23"/>
        <v>0</v>
      </c>
      <c r="Z117" s="450">
        <f>Z77+Z89+Z101+Z108+Z115</f>
        <v>10</v>
      </c>
    </row>
    <row r="118" spans="1:26" ht="15.75" thickBot="1" x14ac:dyDescent="0.3">
      <c r="A118" s="436" t="s">
        <v>64</v>
      </c>
      <c r="B118" s="434"/>
      <c r="C118" s="434"/>
      <c r="D118" s="434"/>
      <c r="E118" s="434"/>
      <c r="F118" s="434"/>
      <c r="G118" s="437"/>
      <c r="H118" s="438"/>
      <c r="I118" s="438"/>
      <c r="J118" s="438"/>
    </row>
    <row r="119" spans="1:26" ht="15.75" thickBot="1" x14ac:dyDescent="0.3">
      <c r="A119" s="439" t="s">
        <v>452</v>
      </c>
      <c r="B119" s="440"/>
      <c r="C119" s="440"/>
      <c r="D119" s="440"/>
      <c r="E119" s="440"/>
      <c r="F119" s="440"/>
      <c r="G119" s="441"/>
      <c r="H119" s="442">
        <f>H117-H118</f>
        <v>18725.5</v>
      </c>
      <c r="I119" s="442"/>
      <c r="J119" s="442"/>
    </row>
    <row r="122" spans="1:26" x14ac:dyDescent="0.25">
      <c r="H122" s="435">
        <f>H77+H101+H108+H115</f>
        <v>652.5</v>
      </c>
      <c r="I122" s="435"/>
      <c r="J122" s="435"/>
    </row>
  </sheetData>
  <mergeCells count="8">
    <mergeCell ref="G3:H3"/>
    <mergeCell ref="A79:B79"/>
    <mergeCell ref="A91:B91"/>
    <mergeCell ref="A103:B103"/>
    <mergeCell ref="A110:B110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27"/>
  <sheetViews>
    <sheetView topLeftCell="B87" zoomScale="80" zoomScaleNormal="80" workbookViewId="0">
      <selection activeCell="G105" sqref="G105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9" width="11.85546875" style="419" customWidth="1"/>
    <col min="10" max="10" width="12.285156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1361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58" t="s">
        <v>1</v>
      </c>
      <c r="B4" s="55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57</v>
      </c>
      <c r="B5" s="530" t="s">
        <v>1620</v>
      </c>
      <c r="C5" s="531">
        <v>2</v>
      </c>
      <c r="D5" s="542">
        <v>3890</v>
      </c>
      <c r="E5" s="535">
        <v>2</v>
      </c>
      <c r="F5" s="542">
        <v>3450</v>
      </c>
      <c r="G5" s="535">
        <f t="shared" ref="G5:G30" si="0">E5-C5</f>
        <v>0</v>
      </c>
      <c r="H5" s="542">
        <f t="shared" ref="H5:H30" si="1">F5-D5</f>
        <v>-440</v>
      </c>
      <c r="I5" s="542"/>
      <c r="J5" s="542">
        <v>1380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0" si="2">SUM(K5:Y5)</f>
        <v>0</v>
      </c>
    </row>
    <row r="6" spans="1:26" ht="14.45" customHeight="1" x14ac:dyDescent="0.25">
      <c r="A6" s="530" t="s">
        <v>1403</v>
      </c>
      <c r="B6" s="530" t="s">
        <v>1620</v>
      </c>
      <c r="C6" s="530">
        <v>12</v>
      </c>
      <c r="D6" s="542">
        <v>19140</v>
      </c>
      <c r="E6" s="535">
        <v>12</v>
      </c>
      <c r="F6" s="542">
        <v>19716</v>
      </c>
      <c r="G6" s="535">
        <f t="shared" si="0"/>
        <v>0</v>
      </c>
      <c r="H6" s="542">
        <f t="shared" si="1"/>
        <v>576</v>
      </c>
      <c r="I6" s="542"/>
      <c r="J6" s="542">
        <v>7886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0" t="s">
        <v>1477</v>
      </c>
      <c r="B7" s="530" t="s">
        <v>115</v>
      </c>
      <c r="C7" s="530">
        <v>1</v>
      </c>
      <c r="D7" s="542">
        <v>1550</v>
      </c>
      <c r="E7" s="535">
        <v>1</v>
      </c>
      <c r="F7" s="542">
        <v>1595</v>
      </c>
      <c r="G7" s="535">
        <f t="shared" si="0"/>
        <v>0</v>
      </c>
      <c r="H7" s="542">
        <f t="shared" si="1"/>
        <v>45</v>
      </c>
      <c r="I7" s="542"/>
      <c r="J7" s="542">
        <v>638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0" t="s">
        <v>1478</v>
      </c>
      <c r="B8" s="530" t="s">
        <v>115</v>
      </c>
      <c r="C8" s="530">
        <v>1</v>
      </c>
      <c r="D8" s="542">
        <v>1550</v>
      </c>
      <c r="E8" s="535">
        <v>1</v>
      </c>
      <c r="F8" s="542">
        <v>1595</v>
      </c>
      <c r="G8" s="535">
        <f t="shared" si="0"/>
        <v>0</v>
      </c>
      <c r="H8" s="542">
        <f t="shared" si="1"/>
        <v>45</v>
      </c>
      <c r="I8" s="542"/>
      <c r="J8" s="542">
        <v>638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0" t="s">
        <v>1476</v>
      </c>
      <c r="B9" s="530" t="s">
        <v>115</v>
      </c>
      <c r="C9" s="530">
        <v>1</v>
      </c>
      <c r="D9" s="542">
        <v>1550</v>
      </c>
      <c r="E9" s="535">
        <v>1</v>
      </c>
      <c r="F9" s="542">
        <v>1595</v>
      </c>
      <c r="G9" s="535">
        <f t="shared" si="0"/>
        <v>0</v>
      </c>
      <c r="H9" s="542">
        <f t="shared" si="1"/>
        <v>45</v>
      </c>
      <c r="I9" s="542"/>
      <c r="J9" s="542">
        <v>638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0" t="s">
        <v>210</v>
      </c>
      <c r="B10" s="530" t="s">
        <v>1620</v>
      </c>
      <c r="C10" s="531">
        <v>9</v>
      </c>
      <c r="D10" s="542">
        <v>10305</v>
      </c>
      <c r="E10" s="535">
        <v>9</v>
      </c>
      <c r="F10" s="542">
        <v>11615</v>
      </c>
      <c r="G10" s="535">
        <f t="shared" si="0"/>
        <v>0</v>
      </c>
      <c r="H10" s="542">
        <f t="shared" si="1"/>
        <v>1310</v>
      </c>
      <c r="I10" s="542"/>
      <c r="J10" s="542">
        <v>4000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1" t="s">
        <v>291</v>
      </c>
      <c r="B11" s="530" t="s">
        <v>115</v>
      </c>
      <c r="C11" s="531">
        <v>9</v>
      </c>
      <c r="D11" s="542">
        <v>10791</v>
      </c>
      <c r="E11" s="535">
        <v>9</v>
      </c>
      <c r="F11" s="542">
        <v>11615</v>
      </c>
      <c r="G11" s="535">
        <f t="shared" si="0"/>
        <v>0</v>
      </c>
      <c r="H11" s="542">
        <f t="shared" si="1"/>
        <v>824</v>
      </c>
      <c r="I11" s="542"/>
      <c r="J11" s="542">
        <v>4000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1" t="s">
        <v>42</v>
      </c>
      <c r="B12" s="530" t="s">
        <v>115</v>
      </c>
      <c r="C12" s="531">
        <v>9</v>
      </c>
      <c r="D12" s="542">
        <v>12154</v>
      </c>
      <c r="E12" s="535">
        <v>9</v>
      </c>
      <c r="F12" s="542">
        <v>11615</v>
      </c>
      <c r="G12" s="535">
        <f t="shared" si="0"/>
        <v>0</v>
      </c>
      <c r="H12" s="542">
        <f t="shared" si="1"/>
        <v>-539</v>
      </c>
      <c r="I12" s="542"/>
      <c r="J12" s="542">
        <v>4000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0" t="s">
        <v>1435</v>
      </c>
      <c r="B13" s="530" t="s">
        <v>1620</v>
      </c>
      <c r="C13" s="530">
        <v>2</v>
      </c>
      <c r="D13" s="542">
        <v>3031</v>
      </c>
      <c r="E13" s="535">
        <v>2</v>
      </c>
      <c r="F13" s="542">
        <v>3122</v>
      </c>
      <c r="G13" s="535">
        <f t="shared" si="0"/>
        <v>0</v>
      </c>
      <c r="H13" s="542">
        <f t="shared" si="1"/>
        <v>91</v>
      </c>
      <c r="I13" s="542"/>
      <c r="J13" s="542">
        <v>1249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0" t="s">
        <v>1436</v>
      </c>
      <c r="B14" s="530" t="s">
        <v>1620</v>
      </c>
      <c r="C14" s="530">
        <v>2</v>
      </c>
      <c r="D14" s="542">
        <v>3031</v>
      </c>
      <c r="E14" s="535">
        <v>2</v>
      </c>
      <c r="F14" s="542">
        <v>3122</v>
      </c>
      <c r="G14" s="535">
        <f t="shared" si="0"/>
        <v>0</v>
      </c>
      <c r="H14" s="542">
        <f t="shared" si="1"/>
        <v>91</v>
      </c>
      <c r="I14" s="542"/>
      <c r="J14" s="542">
        <v>1249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0" t="s">
        <v>152</v>
      </c>
      <c r="B15" s="530" t="s">
        <v>1620</v>
      </c>
      <c r="C15" s="531">
        <v>1</v>
      </c>
      <c r="D15" s="542">
        <v>2485</v>
      </c>
      <c r="E15" s="535">
        <v>1</v>
      </c>
      <c r="F15" s="542">
        <v>2560</v>
      </c>
      <c r="G15" s="535">
        <f t="shared" si="0"/>
        <v>0</v>
      </c>
      <c r="H15" s="542">
        <f t="shared" si="1"/>
        <v>75</v>
      </c>
      <c r="I15" s="542"/>
      <c r="J15" s="542">
        <v>1024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0" t="s">
        <v>256</v>
      </c>
      <c r="B16" s="530" t="s">
        <v>115</v>
      </c>
      <c r="C16" s="531">
        <v>1</v>
      </c>
      <c r="D16" s="542">
        <v>430</v>
      </c>
      <c r="E16" s="535">
        <v>1</v>
      </c>
      <c r="F16" s="542">
        <v>890</v>
      </c>
      <c r="G16" s="535">
        <f t="shared" si="0"/>
        <v>0</v>
      </c>
      <c r="H16" s="542">
        <f t="shared" si="1"/>
        <v>460</v>
      </c>
      <c r="I16" s="542"/>
      <c r="J16" s="542">
        <v>356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0" t="s">
        <v>677</v>
      </c>
      <c r="B17" s="530" t="s">
        <v>115</v>
      </c>
      <c r="C17" s="531">
        <v>5</v>
      </c>
      <c r="D17" s="542">
        <v>7576</v>
      </c>
      <c r="E17" s="535">
        <v>5</v>
      </c>
      <c r="F17" s="542">
        <v>7804</v>
      </c>
      <c r="G17" s="535">
        <f t="shared" si="0"/>
        <v>0</v>
      </c>
      <c r="H17" s="542">
        <f t="shared" si="1"/>
        <v>228</v>
      </c>
      <c r="I17" s="542"/>
      <c r="J17" s="542">
        <v>3122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0" t="s">
        <v>678</v>
      </c>
      <c r="B18" s="530" t="s">
        <v>115</v>
      </c>
      <c r="C18" s="531">
        <v>5</v>
      </c>
      <c r="D18" s="542">
        <v>7576</v>
      </c>
      <c r="E18" s="535">
        <v>5</v>
      </c>
      <c r="F18" s="542">
        <v>7804</v>
      </c>
      <c r="G18" s="535">
        <f t="shared" si="0"/>
        <v>0</v>
      </c>
      <c r="H18" s="542">
        <f t="shared" si="1"/>
        <v>228</v>
      </c>
      <c r="I18" s="542"/>
      <c r="J18" s="542">
        <v>3122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0" t="s">
        <v>679</v>
      </c>
      <c r="B19" s="530" t="s">
        <v>115</v>
      </c>
      <c r="C19" s="531">
        <v>5</v>
      </c>
      <c r="D19" s="542">
        <v>7576</v>
      </c>
      <c r="E19" s="535">
        <v>5</v>
      </c>
      <c r="F19" s="542">
        <v>7804</v>
      </c>
      <c r="G19" s="535">
        <f t="shared" si="0"/>
        <v>0</v>
      </c>
      <c r="H19" s="542">
        <f t="shared" si="1"/>
        <v>228</v>
      </c>
      <c r="I19" s="542"/>
      <c r="J19" s="542">
        <v>3122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2"/>
        <v>0</v>
      </c>
    </row>
    <row r="20" spans="1:26" ht="14.45" customHeight="1" x14ac:dyDescent="0.25">
      <c r="A20" s="530" t="s">
        <v>211</v>
      </c>
      <c r="B20" s="530" t="s">
        <v>1620</v>
      </c>
      <c r="C20" s="531">
        <v>7</v>
      </c>
      <c r="D20" s="542">
        <v>7582</v>
      </c>
      <c r="E20" s="535">
        <v>8</v>
      </c>
      <c r="F20" s="542">
        <v>5000</v>
      </c>
      <c r="G20" s="535">
        <f t="shared" si="0"/>
        <v>1</v>
      </c>
      <c r="H20" s="542">
        <f t="shared" si="1"/>
        <v>-2582</v>
      </c>
      <c r="I20" s="542"/>
      <c r="J20" s="542">
        <v>2000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2"/>
        <v>0</v>
      </c>
    </row>
    <row r="21" spans="1:26" ht="14.45" customHeight="1" x14ac:dyDescent="0.25">
      <c r="A21" s="530" t="s">
        <v>212</v>
      </c>
      <c r="B21" s="530" t="s">
        <v>1620</v>
      </c>
      <c r="C21" s="531">
        <v>7</v>
      </c>
      <c r="D21" s="542">
        <v>5733</v>
      </c>
      <c r="E21" s="535">
        <v>8</v>
      </c>
      <c r="F21" s="542">
        <v>5000</v>
      </c>
      <c r="G21" s="535">
        <f t="shared" si="0"/>
        <v>1</v>
      </c>
      <c r="H21" s="542">
        <f t="shared" si="1"/>
        <v>-733</v>
      </c>
      <c r="I21" s="542"/>
      <c r="J21" s="542">
        <v>2000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2"/>
        <v>0</v>
      </c>
    </row>
    <row r="22" spans="1:26" ht="14.45" customHeight="1" x14ac:dyDescent="0.25">
      <c r="A22" s="530" t="s">
        <v>214</v>
      </c>
      <c r="B22" s="530" t="s">
        <v>1620</v>
      </c>
      <c r="C22" s="531">
        <v>7</v>
      </c>
      <c r="D22" s="542">
        <v>8365</v>
      </c>
      <c r="E22" s="535">
        <v>8</v>
      </c>
      <c r="F22" s="542">
        <v>6404</v>
      </c>
      <c r="G22" s="535">
        <f t="shared" si="0"/>
        <v>1</v>
      </c>
      <c r="H22" s="542">
        <f t="shared" si="1"/>
        <v>-1961</v>
      </c>
      <c r="I22" s="542"/>
      <c r="J22" s="542">
        <v>2562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2"/>
        <v>0</v>
      </c>
    </row>
    <row r="23" spans="1:26" ht="14.45" customHeight="1" x14ac:dyDescent="0.25">
      <c r="A23" s="530" t="s">
        <v>1412</v>
      </c>
      <c r="B23" s="530" t="s">
        <v>1620</v>
      </c>
      <c r="C23" s="530">
        <v>4</v>
      </c>
      <c r="D23" s="542">
        <v>5880</v>
      </c>
      <c r="E23" s="535">
        <v>4</v>
      </c>
      <c r="F23" s="542">
        <v>6572</v>
      </c>
      <c r="G23" s="535">
        <f t="shared" si="0"/>
        <v>0</v>
      </c>
      <c r="H23" s="542">
        <f t="shared" si="1"/>
        <v>692</v>
      </c>
      <c r="I23" s="542"/>
      <c r="J23" s="542">
        <v>2629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2"/>
        <v>0</v>
      </c>
    </row>
    <row r="24" spans="1:26" ht="14.45" customHeight="1" x14ac:dyDescent="0.25">
      <c r="A24" s="530" t="s">
        <v>195</v>
      </c>
      <c r="B24" s="530" t="s">
        <v>1620</v>
      </c>
      <c r="C24" s="531">
        <v>7</v>
      </c>
      <c r="D24" s="542">
        <v>8167</v>
      </c>
      <c r="E24" s="535">
        <v>7</v>
      </c>
      <c r="F24" s="542">
        <v>6006</v>
      </c>
      <c r="G24" s="535">
        <f t="shared" si="0"/>
        <v>0</v>
      </c>
      <c r="H24" s="542">
        <f t="shared" si="1"/>
        <v>-2161</v>
      </c>
      <c r="I24" s="542"/>
      <c r="J24" s="542">
        <v>2669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2"/>
        <v>0</v>
      </c>
    </row>
    <row r="25" spans="1:26" ht="14.45" customHeight="1" x14ac:dyDescent="0.25">
      <c r="A25" s="530" t="s">
        <v>189</v>
      </c>
      <c r="B25" s="530" t="s">
        <v>115</v>
      </c>
      <c r="C25" s="531">
        <v>8</v>
      </c>
      <c r="D25" s="542">
        <v>8946</v>
      </c>
      <c r="E25" s="535">
        <v>8</v>
      </c>
      <c r="F25" s="542">
        <v>11717</v>
      </c>
      <c r="G25" s="535">
        <f t="shared" si="0"/>
        <v>0</v>
      </c>
      <c r="H25" s="542">
        <f t="shared" si="1"/>
        <v>2771</v>
      </c>
      <c r="I25" s="542"/>
      <c r="J25" s="542">
        <v>4000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2"/>
        <v>0</v>
      </c>
    </row>
    <row r="26" spans="1:26" ht="14.45" customHeight="1" x14ac:dyDescent="0.25">
      <c r="A26" s="530" t="s">
        <v>154</v>
      </c>
      <c r="B26" s="530" t="s">
        <v>1620</v>
      </c>
      <c r="C26" s="531">
        <v>8</v>
      </c>
      <c r="D26" s="542">
        <v>10754</v>
      </c>
      <c r="E26" s="535">
        <v>8</v>
      </c>
      <c r="F26" s="542">
        <v>11109</v>
      </c>
      <c r="G26" s="535">
        <f t="shared" si="0"/>
        <v>0</v>
      </c>
      <c r="H26" s="542">
        <f t="shared" si="1"/>
        <v>355</v>
      </c>
      <c r="I26" s="542"/>
      <c r="J26" s="542">
        <v>3564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0" t="s">
        <v>270</v>
      </c>
      <c r="B27" s="530" t="s">
        <v>1620</v>
      </c>
      <c r="C27" s="531">
        <v>2</v>
      </c>
      <c r="D27" s="542">
        <v>2810</v>
      </c>
      <c r="E27" s="535">
        <v>2</v>
      </c>
      <c r="F27" s="542">
        <v>4006</v>
      </c>
      <c r="G27" s="535">
        <f t="shared" si="0"/>
        <v>0</v>
      </c>
      <c r="H27" s="542">
        <f t="shared" si="1"/>
        <v>1196</v>
      </c>
      <c r="I27" s="542"/>
      <c r="J27" s="542">
        <v>1602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0" t="s">
        <v>1521</v>
      </c>
      <c r="B28" s="530" t="s">
        <v>1620</v>
      </c>
      <c r="C28" s="530">
        <v>8</v>
      </c>
      <c r="D28" s="542">
        <v>14960</v>
      </c>
      <c r="E28" s="535">
        <v>8</v>
      </c>
      <c r="F28" s="542">
        <v>15344</v>
      </c>
      <c r="G28" s="535">
        <f t="shared" si="0"/>
        <v>0</v>
      </c>
      <c r="H28" s="542">
        <f t="shared" si="1"/>
        <v>384</v>
      </c>
      <c r="I28" s="542"/>
      <c r="J28" s="542">
        <v>5258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0" t="s">
        <v>206</v>
      </c>
      <c r="B29" s="530" t="s">
        <v>1620</v>
      </c>
      <c r="C29" s="531">
        <v>1</v>
      </c>
      <c r="D29" s="542">
        <v>430</v>
      </c>
      <c r="E29" s="535">
        <v>1</v>
      </c>
      <c r="F29" s="542">
        <v>443</v>
      </c>
      <c r="G29" s="535">
        <f t="shared" si="0"/>
        <v>0</v>
      </c>
      <c r="H29" s="542">
        <f t="shared" si="1"/>
        <v>13</v>
      </c>
      <c r="I29" s="542"/>
      <c r="J29" s="542">
        <f>F29*0.4</f>
        <v>177.20000000000002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A30" s="530" t="s">
        <v>1451</v>
      </c>
      <c r="B30" s="530" t="s">
        <v>115</v>
      </c>
      <c r="C30" s="530">
        <v>5</v>
      </c>
      <c r="D30" s="542">
        <v>7840</v>
      </c>
      <c r="E30" s="535">
        <v>5</v>
      </c>
      <c r="F30" s="542">
        <v>7936</v>
      </c>
      <c r="G30" s="535">
        <f t="shared" si="0"/>
        <v>0</v>
      </c>
      <c r="H30" s="542">
        <f t="shared" si="1"/>
        <v>96</v>
      </c>
      <c r="I30" s="542"/>
      <c r="J30" s="542">
        <v>1314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hidden="1" customHeight="1" x14ac:dyDescent="0.25">
      <c r="A31" s="530"/>
      <c r="B31" s="535"/>
      <c r="C31" s="531"/>
      <c r="D31" s="542"/>
      <c r="E31" s="535"/>
      <c r="F31" s="542"/>
      <c r="G31" s="535">
        <f t="shared" ref="G31:G60" si="3">E31-C31</f>
        <v>0</v>
      </c>
      <c r="H31" s="542">
        <f t="shared" ref="H31:H60" si="4">F31-D31</f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hidden="1" customHeight="1" x14ac:dyDescent="0.25">
      <c r="A32" s="530"/>
      <c r="B32" s="535"/>
      <c r="C32" s="531"/>
      <c r="D32" s="542"/>
      <c r="E32" s="535"/>
      <c r="F32" s="542"/>
      <c r="G32" s="535">
        <f t="shared" si="3"/>
        <v>0</v>
      </c>
      <c r="H32" s="542">
        <f t="shared" si="4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hidden="1" customHeight="1" x14ac:dyDescent="0.25">
      <c r="A33" s="530"/>
      <c r="B33" s="535"/>
      <c r="C33" s="531"/>
      <c r="D33" s="542"/>
      <c r="E33" s="535"/>
      <c r="F33" s="542"/>
      <c r="G33" s="535">
        <f t="shared" si="3"/>
        <v>0</v>
      </c>
      <c r="H33" s="542">
        <f t="shared" si="4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hidden="1" customHeight="1" x14ac:dyDescent="0.25">
      <c r="A34" s="530"/>
      <c r="B34" s="535"/>
      <c r="C34" s="531"/>
      <c r="D34" s="542"/>
      <c r="E34" s="535"/>
      <c r="F34" s="542"/>
      <c r="G34" s="535">
        <f t="shared" si="3"/>
        <v>0</v>
      </c>
      <c r="H34" s="542">
        <f t="shared" si="4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5" hidden="1" customHeight="1" x14ac:dyDescent="0.25">
      <c r="A35" s="530"/>
      <c r="B35" s="535"/>
      <c r="C35" s="531"/>
      <c r="D35" s="542"/>
      <c r="E35" s="535"/>
      <c r="F35" s="542"/>
      <c r="G35" s="535">
        <f t="shared" si="3"/>
        <v>0</v>
      </c>
      <c r="H35" s="542">
        <f t="shared" si="4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5" hidden="1" customHeight="1" x14ac:dyDescent="0.25">
      <c r="A36" s="530"/>
      <c r="B36" s="535"/>
      <c r="C36" s="531"/>
      <c r="D36" s="542"/>
      <c r="E36" s="535"/>
      <c r="F36" s="542"/>
      <c r="G36" s="535">
        <f t="shared" si="3"/>
        <v>0</v>
      </c>
      <c r="H36" s="542">
        <f t="shared" si="4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5" hidden="1" customHeight="1" x14ac:dyDescent="0.25">
      <c r="A37" s="530"/>
      <c r="B37" s="535"/>
      <c r="C37" s="531"/>
      <c r="D37" s="542"/>
      <c r="E37" s="535"/>
      <c r="F37" s="542"/>
      <c r="G37" s="535">
        <f t="shared" si="3"/>
        <v>0</v>
      </c>
      <c r="H37" s="542">
        <f t="shared" si="4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2"/>
        <v>0</v>
      </c>
    </row>
    <row r="38" spans="1:26" ht="15" hidden="1" customHeight="1" x14ac:dyDescent="0.25">
      <c r="A38" s="530"/>
      <c r="B38" s="535"/>
      <c r="C38" s="531"/>
      <c r="D38" s="542"/>
      <c r="E38" s="535"/>
      <c r="F38" s="542"/>
      <c r="G38" s="535">
        <f t="shared" si="3"/>
        <v>0</v>
      </c>
      <c r="H38" s="542">
        <f t="shared" si="4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2"/>
        <v>0</v>
      </c>
    </row>
    <row r="39" spans="1:26" ht="15" hidden="1" customHeight="1" x14ac:dyDescent="0.25">
      <c r="A39" s="530"/>
      <c r="B39" s="535"/>
      <c r="C39" s="531"/>
      <c r="D39" s="542"/>
      <c r="E39" s="535"/>
      <c r="F39" s="542"/>
      <c r="G39" s="535">
        <f t="shared" si="3"/>
        <v>0</v>
      </c>
      <c r="H39" s="542">
        <f t="shared" si="4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2"/>
        <v>0</v>
      </c>
    </row>
    <row r="40" spans="1:26" ht="15" hidden="1" customHeight="1" x14ac:dyDescent="0.25">
      <c r="A40" s="537"/>
      <c r="B40" s="535"/>
      <c r="C40" s="531"/>
      <c r="D40" s="542"/>
      <c r="E40" s="535"/>
      <c r="F40" s="542"/>
      <c r="G40" s="535">
        <f t="shared" si="3"/>
        <v>0</v>
      </c>
      <c r="H40" s="542">
        <f t="shared" si="4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2"/>
        <v>0</v>
      </c>
    </row>
    <row r="41" spans="1:26" ht="15" hidden="1" customHeight="1" x14ac:dyDescent="0.25">
      <c r="A41" s="531"/>
      <c r="B41" s="535"/>
      <c r="C41" s="531"/>
      <c r="D41" s="542"/>
      <c r="E41" s="535"/>
      <c r="F41" s="542"/>
      <c r="G41" s="535">
        <f t="shared" si="3"/>
        <v>0</v>
      </c>
      <c r="H41" s="542">
        <f t="shared" si="4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2"/>
        <v>0</v>
      </c>
    </row>
    <row r="42" spans="1:26" ht="15" hidden="1" customHeight="1" x14ac:dyDescent="0.25">
      <c r="A42" s="530"/>
      <c r="B42" s="535"/>
      <c r="C42" s="530"/>
      <c r="D42" s="542"/>
      <c r="E42" s="535"/>
      <c r="F42" s="542"/>
      <c r="G42" s="535">
        <f t="shared" si="3"/>
        <v>0</v>
      </c>
      <c r="H42" s="542">
        <f t="shared" si="4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2"/>
        <v>0</v>
      </c>
    </row>
    <row r="43" spans="1:26" ht="15" hidden="1" customHeight="1" x14ac:dyDescent="0.25">
      <c r="A43" s="530"/>
      <c r="B43" s="535"/>
      <c r="C43" s="530"/>
      <c r="D43" s="542"/>
      <c r="E43" s="535"/>
      <c r="F43" s="542"/>
      <c r="G43" s="535">
        <f t="shared" si="3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2"/>
        <v>0</v>
      </c>
    </row>
    <row r="44" spans="1:26" ht="15" hidden="1" customHeight="1" x14ac:dyDescent="0.25">
      <c r="A44" s="530"/>
      <c r="B44" s="535"/>
      <c r="C44" s="530"/>
      <c r="D44" s="542"/>
      <c r="E44" s="535"/>
      <c r="F44" s="542"/>
      <c r="G44" s="535">
        <f t="shared" si="3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2"/>
        <v>0</v>
      </c>
    </row>
    <row r="45" spans="1:26" ht="15" hidden="1" customHeight="1" x14ac:dyDescent="0.25">
      <c r="A45" s="530"/>
      <c r="B45" s="535"/>
      <c r="C45" s="530"/>
      <c r="D45" s="542"/>
      <c r="E45" s="535"/>
      <c r="F45" s="542"/>
      <c r="G45" s="535">
        <f t="shared" si="3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2"/>
        <v>0</v>
      </c>
    </row>
    <row r="46" spans="1:26" ht="15" hidden="1" customHeight="1" x14ac:dyDescent="0.25">
      <c r="A46" s="530"/>
      <c r="B46" s="535"/>
      <c r="C46" s="530"/>
      <c r="D46" s="542"/>
      <c r="E46" s="535"/>
      <c r="F46" s="542"/>
      <c r="G46" s="535">
        <f t="shared" si="3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2"/>
        <v>0</v>
      </c>
    </row>
    <row r="47" spans="1:26" ht="15" hidden="1" customHeight="1" x14ac:dyDescent="0.25">
      <c r="A47" s="530"/>
      <c r="B47" s="535"/>
      <c r="C47" s="530"/>
      <c r="D47" s="542"/>
      <c r="E47" s="535"/>
      <c r="F47" s="542"/>
      <c r="G47" s="535">
        <f t="shared" si="3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2"/>
        <v>0</v>
      </c>
    </row>
    <row r="48" spans="1:26" ht="15" hidden="1" customHeight="1" x14ac:dyDescent="0.25">
      <c r="A48" s="530"/>
      <c r="B48" s="535"/>
      <c r="C48" s="530"/>
      <c r="D48" s="542"/>
      <c r="E48" s="535"/>
      <c r="F48" s="542"/>
      <c r="G48" s="535">
        <f t="shared" si="3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2"/>
        <v>0</v>
      </c>
    </row>
    <row r="49" spans="1:26" ht="15" hidden="1" customHeight="1" x14ac:dyDescent="0.25">
      <c r="A49" s="530"/>
      <c r="B49" s="535"/>
      <c r="C49" s="531"/>
      <c r="D49" s="542"/>
      <c r="E49" s="535"/>
      <c r="F49" s="542"/>
      <c r="G49" s="535">
        <f t="shared" si="3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2"/>
        <v>0</v>
      </c>
    </row>
    <row r="50" spans="1:26" ht="15" hidden="1" customHeight="1" x14ac:dyDescent="0.25">
      <c r="A50" s="530"/>
      <c r="B50" s="535"/>
      <c r="C50" s="531"/>
      <c r="D50" s="542"/>
      <c r="E50" s="535"/>
      <c r="F50" s="542"/>
      <c r="G50" s="535">
        <f t="shared" si="3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2"/>
        <v>0</v>
      </c>
    </row>
    <row r="51" spans="1:26" ht="15" hidden="1" customHeight="1" x14ac:dyDescent="0.25">
      <c r="A51" s="530"/>
      <c r="B51" s="535"/>
      <c r="C51" s="531"/>
      <c r="D51" s="542"/>
      <c r="E51" s="535"/>
      <c r="F51" s="542"/>
      <c r="G51" s="535">
        <f t="shared" si="3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2"/>
        <v>0</v>
      </c>
    </row>
    <row r="52" spans="1:26" ht="15" hidden="1" customHeight="1" x14ac:dyDescent="0.25">
      <c r="A52" s="530"/>
      <c r="B52" s="535"/>
      <c r="C52" s="531"/>
      <c r="D52" s="542"/>
      <c r="E52" s="535"/>
      <c r="F52" s="542"/>
      <c r="G52" s="535">
        <f t="shared" si="3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2"/>
        <v>0</v>
      </c>
    </row>
    <row r="53" spans="1:26" ht="15" hidden="1" customHeight="1" x14ac:dyDescent="0.25">
      <c r="A53" s="530"/>
      <c r="B53" s="535"/>
      <c r="C53" s="531"/>
      <c r="D53" s="542"/>
      <c r="E53" s="535"/>
      <c r="F53" s="542"/>
      <c r="G53" s="535">
        <f t="shared" si="3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2"/>
        <v>0</v>
      </c>
    </row>
    <row r="54" spans="1:26" ht="15" hidden="1" customHeight="1" x14ac:dyDescent="0.25">
      <c r="A54" s="530"/>
      <c r="B54" s="535"/>
      <c r="C54" s="531"/>
      <c r="D54" s="542"/>
      <c r="E54" s="535"/>
      <c r="F54" s="542"/>
      <c r="G54" s="535">
        <f t="shared" si="3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2"/>
        <v>0</v>
      </c>
    </row>
    <row r="55" spans="1:26" ht="15" hidden="1" customHeight="1" x14ac:dyDescent="0.25">
      <c r="A55" s="530"/>
      <c r="B55" s="535"/>
      <c r="C55" s="531"/>
      <c r="D55" s="542"/>
      <c r="E55" s="535"/>
      <c r="F55" s="542"/>
      <c r="G55" s="535">
        <f t="shared" si="3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2"/>
        <v>0</v>
      </c>
    </row>
    <row r="56" spans="1:26" ht="15" hidden="1" customHeight="1" x14ac:dyDescent="0.25">
      <c r="A56" s="530"/>
      <c r="B56" s="535"/>
      <c r="C56" s="531"/>
      <c r="D56" s="542"/>
      <c r="E56" s="535"/>
      <c r="F56" s="542"/>
      <c r="G56" s="535">
        <f t="shared" si="3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2"/>
        <v>0</v>
      </c>
    </row>
    <row r="57" spans="1:26" ht="15" hidden="1" customHeight="1" x14ac:dyDescent="0.25">
      <c r="A57" s="530"/>
      <c r="B57" s="535"/>
      <c r="C57" s="531"/>
      <c r="D57" s="542"/>
      <c r="E57" s="535"/>
      <c r="F57" s="542"/>
      <c r="G57" s="535">
        <f t="shared" si="3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2"/>
        <v>0</v>
      </c>
    </row>
    <row r="58" spans="1:26" ht="15" hidden="1" customHeight="1" x14ac:dyDescent="0.25">
      <c r="A58" s="530"/>
      <c r="B58" s="535"/>
      <c r="C58" s="531"/>
      <c r="D58" s="542"/>
      <c r="E58" s="535"/>
      <c r="F58" s="542"/>
      <c r="G58" s="535">
        <f t="shared" si="3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2"/>
        <v>0</v>
      </c>
    </row>
    <row r="59" spans="1:26" ht="15" hidden="1" customHeight="1" x14ac:dyDescent="0.25">
      <c r="A59" s="530"/>
      <c r="B59" s="535"/>
      <c r="C59" s="531"/>
      <c r="D59" s="542"/>
      <c r="E59" s="535"/>
      <c r="F59" s="542"/>
      <c r="G59" s="535">
        <f t="shared" si="3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2"/>
        <v>0</v>
      </c>
    </row>
    <row r="60" spans="1:26" ht="15" hidden="1" customHeight="1" x14ac:dyDescent="0.25">
      <c r="A60" s="530"/>
      <c r="B60" s="535"/>
      <c r="C60" s="531"/>
      <c r="D60" s="542"/>
      <c r="E60" s="535"/>
      <c r="F60" s="542"/>
      <c r="G60" s="535">
        <f t="shared" si="3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2"/>
        <v>0</v>
      </c>
    </row>
    <row r="61" spans="1:26" ht="15" hidden="1" customHeight="1" x14ac:dyDescent="0.25">
      <c r="A61" s="530"/>
      <c r="B61" s="535"/>
      <c r="C61" s="531"/>
      <c r="D61" s="542"/>
      <c r="E61" s="535"/>
      <c r="F61" s="542"/>
      <c r="G61" s="535">
        <f t="shared" ref="G61:G75" si="5">E61-C61</f>
        <v>0</v>
      </c>
      <c r="H61" s="542">
        <f t="shared" ref="H61:H75" si="6">F61-D61</f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ref="Z61:Z75" si="7">SUM(K61:Y61)</f>
        <v>0</v>
      </c>
    </row>
    <row r="62" spans="1:26" ht="15" hidden="1" customHeight="1" x14ac:dyDescent="0.25">
      <c r="A62" s="530"/>
      <c r="B62" s="535"/>
      <c r="C62" s="531"/>
      <c r="D62" s="542"/>
      <c r="E62" s="535"/>
      <c r="F62" s="542"/>
      <c r="G62" s="535">
        <f t="shared" si="5"/>
        <v>0</v>
      </c>
      <c r="H62" s="542">
        <f t="shared" si="6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7"/>
        <v>0</v>
      </c>
    </row>
    <row r="63" spans="1:26" ht="15" hidden="1" customHeight="1" x14ac:dyDescent="0.25">
      <c r="A63" s="530"/>
      <c r="B63" s="535"/>
      <c r="C63" s="531"/>
      <c r="D63" s="542"/>
      <c r="E63" s="535"/>
      <c r="F63" s="542"/>
      <c r="G63" s="535">
        <f t="shared" si="5"/>
        <v>0</v>
      </c>
      <c r="H63" s="542">
        <f t="shared" si="6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7"/>
        <v>0</v>
      </c>
    </row>
    <row r="64" spans="1:26" ht="15" hidden="1" customHeight="1" x14ac:dyDescent="0.25">
      <c r="A64" s="534"/>
      <c r="B64" s="535"/>
      <c r="C64" s="531"/>
      <c r="D64" s="542"/>
      <c r="E64" s="535"/>
      <c r="F64" s="542"/>
      <c r="G64" s="535">
        <f t="shared" si="5"/>
        <v>0</v>
      </c>
      <c r="H64" s="542">
        <f t="shared" si="6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7"/>
        <v>0</v>
      </c>
    </row>
    <row r="65" spans="1:26" ht="15" hidden="1" customHeight="1" x14ac:dyDescent="0.25">
      <c r="A65" s="530"/>
      <c r="B65" s="535"/>
      <c r="C65" s="531"/>
      <c r="D65" s="542"/>
      <c r="E65" s="535"/>
      <c r="F65" s="542"/>
      <c r="G65" s="535">
        <f t="shared" si="5"/>
        <v>0</v>
      </c>
      <c r="H65" s="542">
        <f t="shared" si="6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7"/>
        <v>0</v>
      </c>
    </row>
    <row r="66" spans="1:26" ht="15" hidden="1" customHeight="1" x14ac:dyDescent="0.25">
      <c r="A66" s="534"/>
      <c r="B66" s="535"/>
      <c r="C66" s="531"/>
      <c r="D66" s="542"/>
      <c r="E66" s="535"/>
      <c r="F66" s="542"/>
      <c r="G66" s="535">
        <f t="shared" si="5"/>
        <v>0</v>
      </c>
      <c r="H66" s="542">
        <f t="shared" si="6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7"/>
        <v>0</v>
      </c>
    </row>
    <row r="67" spans="1:26" ht="15" hidden="1" customHeight="1" x14ac:dyDescent="0.25">
      <c r="A67" s="530"/>
      <c r="B67" s="535"/>
      <c r="C67" s="531"/>
      <c r="D67" s="542"/>
      <c r="E67" s="535"/>
      <c r="F67" s="542"/>
      <c r="G67" s="535">
        <f t="shared" si="5"/>
        <v>0</v>
      </c>
      <c r="H67" s="542">
        <f t="shared" si="6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7"/>
        <v>0</v>
      </c>
    </row>
    <row r="68" spans="1:26" ht="15" hidden="1" customHeight="1" x14ac:dyDescent="0.25">
      <c r="A68" s="533"/>
      <c r="B68" s="535"/>
      <c r="C68" s="531"/>
      <c r="D68" s="542"/>
      <c r="E68" s="535"/>
      <c r="F68" s="542"/>
      <c r="G68" s="535">
        <f t="shared" si="5"/>
        <v>0</v>
      </c>
      <c r="H68" s="542">
        <f t="shared" si="6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7"/>
        <v>0</v>
      </c>
    </row>
    <row r="69" spans="1:26" ht="15" hidden="1" customHeight="1" x14ac:dyDescent="0.25">
      <c r="A69" s="530"/>
      <c r="B69" s="535"/>
      <c r="C69" s="531"/>
      <c r="D69" s="542"/>
      <c r="E69" s="535"/>
      <c r="F69" s="542"/>
      <c r="G69" s="535">
        <f t="shared" si="5"/>
        <v>0</v>
      </c>
      <c r="H69" s="542">
        <f t="shared" si="6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7"/>
        <v>0</v>
      </c>
    </row>
    <row r="70" spans="1:26" ht="15" hidden="1" customHeight="1" x14ac:dyDescent="0.25">
      <c r="A70" s="530"/>
      <c r="B70" s="535"/>
      <c r="C70" s="531"/>
      <c r="D70" s="542"/>
      <c r="E70" s="535"/>
      <c r="F70" s="542"/>
      <c r="G70" s="535">
        <f t="shared" si="5"/>
        <v>0</v>
      </c>
      <c r="H70" s="542">
        <f t="shared" si="6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7"/>
        <v>0</v>
      </c>
    </row>
    <row r="71" spans="1:26" ht="15" hidden="1" customHeight="1" x14ac:dyDescent="0.25">
      <c r="A71" s="530"/>
      <c r="B71" s="535"/>
      <c r="C71" s="531"/>
      <c r="D71" s="542"/>
      <c r="E71" s="535"/>
      <c r="F71" s="542"/>
      <c r="G71" s="535">
        <f t="shared" si="5"/>
        <v>0</v>
      </c>
      <c r="H71" s="542">
        <f t="shared" si="6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7"/>
        <v>0</v>
      </c>
    </row>
    <row r="72" spans="1:26" ht="15" hidden="1" customHeight="1" x14ac:dyDescent="0.25">
      <c r="A72" s="538"/>
      <c r="B72" s="535"/>
      <c r="C72" s="535"/>
      <c r="D72" s="542"/>
      <c r="E72" s="535"/>
      <c r="F72" s="542"/>
      <c r="G72" s="535">
        <f t="shared" si="5"/>
        <v>0</v>
      </c>
      <c r="H72" s="542">
        <f t="shared" si="6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7"/>
        <v>0</v>
      </c>
    </row>
    <row r="73" spans="1:26" ht="15" hidden="1" customHeight="1" x14ac:dyDescent="0.25">
      <c r="A73" s="535"/>
      <c r="B73" s="535"/>
      <c r="C73" s="535"/>
      <c r="D73" s="542"/>
      <c r="E73" s="535"/>
      <c r="F73" s="542"/>
      <c r="G73" s="535">
        <f t="shared" si="5"/>
        <v>0</v>
      </c>
      <c r="H73" s="542">
        <f t="shared" si="6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7"/>
        <v>0</v>
      </c>
    </row>
    <row r="74" spans="1:26" ht="15" hidden="1" customHeight="1" x14ac:dyDescent="0.25">
      <c r="A74" s="535"/>
      <c r="B74" s="535"/>
      <c r="C74" s="535"/>
      <c r="D74" s="542"/>
      <c r="E74" s="535"/>
      <c r="F74" s="542"/>
      <c r="G74" s="535">
        <f t="shared" si="5"/>
        <v>0</v>
      </c>
      <c r="H74" s="542">
        <f t="shared" si="6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7"/>
        <v>0</v>
      </c>
    </row>
    <row r="75" spans="1:26" ht="15" customHeight="1" x14ac:dyDescent="0.25">
      <c r="A75" s="535"/>
      <c r="B75" s="535"/>
      <c r="C75" s="535"/>
      <c r="D75" s="542"/>
      <c r="E75" s="535"/>
      <c r="F75" s="542"/>
      <c r="G75" s="535">
        <f t="shared" si="5"/>
        <v>0</v>
      </c>
      <c r="H75" s="542">
        <f t="shared" si="6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7"/>
        <v>0</v>
      </c>
    </row>
    <row r="76" spans="1:26" ht="15" customHeight="1" x14ac:dyDescent="0.25">
      <c r="A76" s="443" t="s">
        <v>1221</v>
      </c>
      <c r="B76" s="444"/>
      <c r="C76" s="447">
        <f t="shared" ref="C76:Z76" si="8">SUM(C5:C75)</f>
        <v>129</v>
      </c>
      <c r="D76" s="448">
        <f t="shared" si="8"/>
        <v>174102</v>
      </c>
      <c r="E76" s="447">
        <f t="shared" si="8"/>
        <v>132</v>
      </c>
      <c r="F76" s="448">
        <f t="shared" si="8"/>
        <v>175439</v>
      </c>
      <c r="G76" s="447">
        <f t="shared" si="8"/>
        <v>3</v>
      </c>
      <c r="H76" s="448">
        <f t="shared" si="8"/>
        <v>1337</v>
      </c>
      <c r="I76" s="448">
        <f t="shared" si="8"/>
        <v>0</v>
      </c>
      <c r="J76" s="447">
        <f t="shared" si="8"/>
        <v>64199.199999999997</v>
      </c>
      <c r="K76" s="448">
        <f t="shared" si="8"/>
        <v>0</v>
      </c>
      <c r="L76" s="447">
        <f t="shared" si="8"/>
        <v>0</v>
      </c>
      <c r="M76" s="447">
        <f t="shared" si="8"/>
        <v>0</v>
      </c>
      <c r="N76" s="447">
        <f t="shared" si="8"/>
        <v>0</v>
      </c>
      <c r="O76" s="447">
        <f t="shared" si="8"/>
        <v>0</v>
      </c>
      <c r="P76" s="447">
        <f t="shared" si="8"/>
        <v>0</v>
      </c>
      <c r="Q76" s="447">
        <f t="shared" si="8"/>
        <v>0</v>
      </c>
      <c r="R76" s="447">
        <f t="shared" si="8"/>
        <v>0</v>
      </c>
      <c r="S76" s="447">
        <f t="shared" si="8"/>
        <v>0</v>
      </c>
      <c r="T76" s="447">
        <f t="shared" si="8"/>
        <v>0</v>
      </c>
      <c r="U76" s="447">
        <f t="shared" si="8"/>
        <v>0</v>
      </c>
      <c r="V76" s="447">
        <f t="shared" si="8"/>
        <v>0</v>
      </c>
      <c r="W76" s="447">
        <f t="shared" si="8"/>
        <v>0</v>
      </c>
      <c r="X76" s="447">
        <f t="shared" si="8"/>
        <v>0</v>
      </c>
      <c r="Y76" s="447">
        <f t="shared" si="8"/>
        <v>0</v>
      </c>
      <c r="Z76" s="447">
        <f t="shared" si="8"/>
        <v>0</v>
      </c>
    </row>
    <row r="78" spans="1:26" x14ac:dyDescent="0.25">
      <c r="A78" s="739" t="s">
        <v>1227</v>
      </c>
      <c r="B78" s="739"/>
    </row>
    <row r="79" spans="1:26" ht="30" x14ac:dyDescent="0.25">
      <c r="A79" s="547" t="s">
        <v>1</v>
      </c>
      <c r="B79" s="547"/>
      <c r="C79" s="548" t="s">
        <v>1222</v>
      </c>
      <c r="D79" s="548" t="s">
        <v>1223</v>
      </c>
      <c r="E79" s="548" t="s">
        <v>392</v>
      </c>
      <c r="F79" s="549" t="s">
        <v>2</v>
      </c>
      <c r="G79" s="550" t="s">
        <v>1225</v>
      </c>
      <c r="H79" s="551" t="s">
        <v>1224</v>
      </c>
      <c r="I79" s="551" t="s">
        <v>1498</v>
      </c>
      <c r="J79" s="551" t="s">
        <v>94</v>
      </c>
      <c r="K79" s="552" t="s">
        <v>681</v>
      </c>
      <c r="L79" s="552" t="s">
        <v>1496</v>
      </c>
      <c r="M79" s="552" t="s">
        <v>1497</v>
      </c>
      <c r="N79" s="552" t="s">
        <v>682</v>
      </c>
      <c r="O79" s="552" t="s">
        <v>683</v>
      </c>
      <c r="P79" s="552" t="s">
        <v>87</v>
      </c>
      <c r="Q79" s="552" t="s">
        <v>684</v>
      </c>
      <c r="R79" s="552" t="s">
        <v>685</v>
      </c>
      <c r="S79" s="552" t="s">
        <v>690</v>
      </c>
      <c r="T79" s="552" t="s">
        <v>686</v>
      </c>
      <c r="U79" s="552" t="s">
        <v>687</v>
      </c>
      <c r="V79" s="552" t="s">
        <v>688</v>
      </c>
      <c r="W79" s="552" t="s">
        <v>689</v>
      </c>
      <c r="X79" s="552" t="s">
        <v>138</v>
      </c>
      <c r="Y79" s="552" t="s">
        <v>1385</v>
      </c>
      <c r="Z79" s="552" t="s">
        <v>1238</v>
      </c>
    </row>
    <row r="80" spans="1:26" ht="15" customHeight="1" x14ac:dyDescent="0.25">
      <c r="A80" s="561" t="s">
        <v>1649</v>
      </c>
      <c r="B80" s="496" t="s">
        <v>100</v>
      </c>
      <c r="C80" s="497">
        <v>42391</v>
      </c>
      <c r="D80" s="498">
        <v>42681</v>
      </c>
      <c r="E80" s="499">
        <v>285</v>
      </c>
      <c r="F80" s="498">
        <v>42614</v>
      </c>
      <c r="G80" s="499">
        <v>2</v>
      </c>
      <c r="H80" s="554">
        <v>3286</v>
      </c>
      <c r="I80" s="554">
        <v>5000</v>
      </c>
      <c r="J80" s="554">
        <v>1314</v>
      </c>
      <c r="K80" s="496">
        <v>1</v>
      </c>
      <c r="L80" s="496"/>
      <c r="M80" s="496"/>
      <c r="N80" s="496">
        <v>1</v>
      </c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>
        <f>SUM(K80:Y80)</f>
        <v>2</v>
      </c>
    </row>
    <row r="81" spans="1:26" ht="15" customHeight="1" x14ac:dyDescent="0.25">
      <c r="A81" s="561" t="s">
        <v>1651</v>
      </c>
      <c r="B81" s="496" t="s">
        <v>115</v>
      </c>
      <c r="C81" s="497">
        <v>42656</v>
      </c>
      <c r="D81" s="498">
        <v>42692</v>
      </c>
      <c r="E81" s="499">
        <v>65</v>
      </c>
      <c r="F81" s="498">
        <v>42688</v>
      </c>
      <c r="G81" s="499">
        <v>1</v>
      </c>
      <c r="H81" s="554">
        <v>1643</v>
      </c>
      <c r="I81" s="554">
        <v>5000</v>
      </c>
      <c r="J81" s="554">
        <v>657</v>
      </c>
      <c r="K81" s="496"/>
      <c r="L81" s="496"/>
      <c r="M81" s="496"/>
      <c r="N81" s="496"/>
      <c r="O81" s="496"/>
      <c r="P81" s="496">
        <v>1</v>
      </c>
      <c r="Q81" s="496"/>
      <c r="R81" s="496"/>
      <c r="S81" s="496"/>
      <c r="T81" s="496"/>
      <c r="U81" s="496"/>
      <c r="V81" s="496"/>
      <c r="W81" s="496"/>
      <c r="X81" s="496"/>
      <c r="Y81" s="496"/>
      <c r="Z81" s="496">
        <f t="shared" ref="Z81:Z86" si="9">SUM(K81:Y81)</f>
        <v>1</v>
      </c>
    </row>
    <row r="82" spans="1:26" ht="29.45" customHeight="1" x14ac:dyDescent="0.25">
      <c r="A82" s="561" t="s">
        <v>1654</v>
      </c>
      <c r="B82" s="535" t="s">
        <v>115</v>
      </c>
      <c r="C82" s="487">
        <v>42650</v>
      </c>
      <c r="D82" s="488">
        <v>42703</v>
      </c>
      <c r="E82" s="486">
        <v>52</v>
      </c>
      <c r="F82" s="488">
        <v>42703</v>
      </c>
      <c r="G82" s="486">
        <v>5</v>
      </c>
      <c r="H82" s="539">
        <v>8215</v>
      </c>
      <c r="I82" s="539">
        <v>0</v>
      </c>
      <c r="J82" s="539">
        <v>3286</v>
      </c>
      <c r="K82" s="535">
        <v>1</v>
      </c>
      <c r="L82" s="535">
        <v>1</v>
      </c>
      <c r="M82" s="535">
        <v>1</v>
      </c>
      <c r="N82" s="535">
        <v>1</v>
      </c>
      <c r="O82" s="535">
        <v>1</v>
      </c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496">
        <f t="shared" si="9"/>
        <v>5</v>
      </c>
    </row>
    <row r="83" spans="1:26" ht="29.45" customHeight="1" x14ac:dyDescent="0.25">
      <c r="A83" s="538"/>
      <c r="B83" s="535"/>
      <c r="C83" s="487"/>
      <c r="D83" s="488"/>
      <c r="E83" s="486"/>
      <c r="F83" s="488"/>
      <c r="G83" s="486"/>
      <c r="H83" s="539"/>
      <c r="I83" s="539"/>
      <c r="J83" s="539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496">
        <f t="shared" si="9"/>
        <v>0</v>
      </c>
    </row>
    <row r="84" spans="1:26" ht="15" customHeight="1" x14ac:dyDescent="0.25">
      <c r="A84" s="538"/>
      <c r="B84" s="535"/>
      <c r="C84" s="487"/>
      <c r="D84" s="488"/>
      <c r="E84" s="486"/>
      <c r="F84" s="488"/>
      <c r="G84" s="486"/>
      <c r="H84" s="539"/>
      <c r="I84" s="539"/>
      <c r="J84" s="539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496">
        <f t="shared" si="9"/>
        <v>0</v>
      </c>
    </row>
    <row r="85" spans="1:26" ht="15" customHeight="1" x14ac:dyDescent="0.25">
      <c r="A85" s="538"/>
      <c r="B85" s="535"/>
      <c r="C85" s="487"/>
      <c r="D85" s="488"/>
      <c r="E85" s="486"/>
      <c r="F85" s="488"/>
      <c r="G85" s="486"/>
      <c r="H85" s="539"/>
      <c r="I85" s="539"/>
      <c r="J85" s="539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496">
        <f t="shared" si="9"/>
        <v>0</v>
      </c>
    </row>
    <row r="86" spans="1:26" ht="15" customHeight="1" x14ac:dyDescent="0.25">
      <c r="A86" s="538"/>
      <c r="B86" s="535"/>
      <c r="C86" s="487"/>
      <c r="D86" s="488"/>
      <c r="E86" s="486"/>
      <c r="F86" s="488"/>
      <c r="G86" s="486"/>
      <c r="H86" s="539"/>
      <c r="I86" s="456"/>
      <c r="J86" s="456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496">
        <f t="shared" si="9"/>
        <v>0</v>
      </c>
    </row>
    <row r="87" spans="1:26" ht="15" customHeight="1" x14ac:dyDescent="0.25">
      <c r="A87" s="538"/>
      <c r="B87" s="535"/>
      <c r="C87" s="487"/>
      <c r="D87" s="488"/>
      <c r="E87" s="486"/>
      <c r="F87" s="488"/>
      <c r="G87" s="486"/>
      <c r="H87" s="539"/>
      <c r="I87" s="456"/>
      <c r="J87" s="456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5">
        <f t="shared" ref="Z87" si="10">SUM(K87:Y87)</f>
        <v>0</v>
      </c>
    </row>
    <row r="88" spans="1:26" ht="15" customHeight="1" x14ac:dyDescent="0.25">
      <c r="A88" s="443" t="s">
        <v>1226</v>
      </c>
      <c r="B88" s="444"/>
      <c r="C88" s="445"/>
      <c r="D88" s="446"/>
      <c r="E88" s="447"/>
      <c r="F88" s="446"/>
      <c r="G88" s="447">
        <f>SUM(G80:G87)</f>
        <v>8</v>
      </c>
      <c r="H88" s="448">
        <f>SUM(H80:H87)</f>
        <v>13144</v>
      </c>
      <c r="I88" s="448">
        <f>SUM(G88:H88)</f>
        <v>13152</v>
      </c>
      <c r="J88" s="448">
        <f>SUM(J80:J87)</f>
        <v>5257</v>
      </c>
      <c r="K88" s="447">
        <f>SUM(K80:K87)</f>
        <v>2</v>
      </c>
      <c r="L88" s="447">
        <f t="shared" ref="L88:Z88" si="11">SUM(L80:L87)</f>
        <v>1</v>
      </c>
      <c r="M88" s="447">
        <f t="shared" si="11"/>
        <v>1</v>
      </c>
      <c r="N88" s="447">
        <f t="shared" si="11"/>
        <v>2</v>
      </c>
      <c r="O88" s="447">
        <f t="shared" si="11"/>
        <v>1</v>
      </c>
      <c r="P88" s="447">
        <f t="shared" si="11"/>
        <v>1</v>
      </c>
      <c r="Q88" s="447">
        <f t="shared" si="11"/>
        <v>0</v>
      </c>
      <c r="R88" s="447">
        <f t="shared" si="11"/>
        <v>0</v>
      </c>
      <c r="S88" s="447">
        <f t="shared" si="11"/>
        <v>0</v>
      </c>
      <c r="T88" s="447">
        <f t="shared" si="11"/>
        <v>0</v>
      </c>
      <c r="U88" s="447">
        <f t="shared" si="11"/>
        <v>0</v>
      </c>
      <c r="V88" s="447">
        <f t="shared" si="11"/>
        <v>0</v>
      </c>
      <c r="W88" s="447">
        <f t="shared" si="11"/>
        <v>0</v>
      </c>
      <c r="X88" s="447">
        <f t="shared" si="11"/>
        <v>0</v>
      </c>
      <c r="Y88" s="447">
        <f t="shared" si="11"/>
        <v>0</v>
      </c>
      <c r="Z88" s="447">
        <f t="shared" si="11"/>
        <v>8</v>
      </c>
    </row>
    <row r="89" spans="1:26" ht="15" customHeight="1" x14ac:dyDescent="0.25">
      <c r="A89" s="428"/>
      <c r="B89" s="422"/>
      <c r="C89" s="422"/>
      <c r="D89" s="429"/>
      <c r="E89" s="422"/>
      <c r="F89" s="429"/>
      <c r="G89" s="433"/>
      <c r="H89" s="422"/>
      <c r="I89" s="562"/>
      <c r="J89" s="422"/>
    </row>
    <row r="90" spans="1:26" x14ac:dyDescent="0.25">
      <c r="A90" s="739" t="s">
        <v>1228</v>
      </c>
      <c r="B90" s="739"/>
      <c r="G90" s="420"/>
    </row>
    <row r="91" spans="1:26" ht="30" x14ac:dyDescent="0.25">
      <c r="A91" s="558" t="s">
        <v>1</v>
      </c>
      <c r="B91" s="558" t="s">
        <v>59</v>
      </c>
      <c r="C91" s="425" t="s">
        <v>1222</v>
      </c>
      <c r="D91" s="425" t="s">
        <v>1223</v>
      </c>
      <c r="E91" s="425" t="s">
        <v>392</v>
      </c>
      <c r="F91" s="426" t="s">
        <v>2</v>
      </c>
      <c r="G91" s="432" t="s">
        <v>1225</v>
      </c>
      <c r="H91" s="427" t="s">
        <v>1224</v>
      </c>
      <c r="I91" s="427" t="s">
        <v>1498</v>
      </c>
      <c r="J91" s="427" t="s">
        <v>94</v>
      </c>
      <c r="K91" s="424" t="s">
        <v>681</v>
      </c>
      <c r="L91" s="424" t="s">
        <v>1496</v>
      </c>
      <c r="M91" s="424" t="s">
        <v>1497</v>
      </c>
      <c r="N91" s="424" t="s">
        <v>682</v>
      </c>
      <c r="O91" s="424" t="s">
        <v>683</v>
      </c>
      <c r="P91" s="424" t="s">
        <v>87</v>
      </c>
      <c r="Q91" s="424" t="s">
        <v>684</v>
      </c>
      <c r="R91" s="424" t="s">
        <v>685</v>
      </c>
      <c r="S91" s="424" t="s">
        <v>690</v>
      </c>
      <c r="T91" s="424" t="s">
        <v>686</v>
      </c>
      <c r="U91" s="424" t="s">
        <v>687</v>
      </c>
      <c r="V91" s="424" t="s">
        <v>688</v>
      </c>
      <c r="W91" s="424" t="s">
        <v>689</v>
      </c>
      <c r="X91" s="424" t="s">
        <v>138</v>
      </c>
      <c r="Y91" s="424" t="s">
        <v>1385</v>
      </c>
      <c r="Z91" s="424" t="s">
        <v>1238</v>
      </c>
    </row>
    <row r="92" spans="1:26" ht="15" customHeight="1" x14ac:dyDescent="0.25">
      <c r="A92" s="561" t="s">
        <v>1520</v>
      </c>
      <c r="B92" s="535" t="s">
        <v>115</v>
      </c>
      <c r="C92" s="487">
        <v>42661</v>
      </c>
      <c r="D92" s="488">
        <v>42671</v>
      </c>
      <c r="E92" s="486">
        <v>10</v>
      </c>
      <c r="F92" s="488">
        <v>42675</v>
      </c>
      <c r="G92" s="486">
        <v>3</v>
      </c>
      <c r="H92" s="539">
        <v>4929</v>
      </c>
      <c r="I92" s="456">
        <v>0</v>
      </c>
      <c r="J92" s="456">
        <v>1971</v>
      </c>
      <c r="K92" s="535">
        <v>1</v>
      </c>
      <c r="L92" s="535"/>
      <c r="M92" s="535"/>
      <c r="N92" s="535"/>
      <c r="O92" s="535"/>
      <c r="P92" s="535">
        <v>1</v>
      </c>
      <c r="Q92" s="535">
        <v>1</v>
      </c>
      <c r="R92" s="535"/>
      <c r="S92" s="535"/>
      <c r="T92" s="535"/>
      <c r="U92" s="535"/>
      <c r="V92" s="535"/>
      <c r="W92" s="535"/>
      <c r="X92" s="535"/>
      <c r="Y92" s="535"/>
      <c r="Z92" s="535">
        <f>SUM(K92:Y92)</f>
        <v>3</v>
      </c>
    </row>
    <row r="93" spans="1:26" s="457" customFormat="1" ht="15" customHeight="1" x14ac:dyDescent="0.25">
      <c r="A93" s="561" t="s">
        <v>723</v>
      </c>
      <c r="B93" s="452" t="s">
        <v>1620</v>
      </c>
      <c r="C93" s="453">
        <v>42682</v>
      </c>
      <c r="D93" s="454">
        <v>42683</v>
      </c>
      <c r="E93" s="455">
        <v>1</v>
      </c>
      <c r="F93" s="454">
        <v>42688</v>
      </c>
      <c r="G93" s="455">
        <v>2</v>
      </c>
      <c r="H93" s="456">
        <f>2304+2304</f>
        <v>4608</v>
      </c>
      <c r="I93" s="456">
        <v>0</v>
      </c>
      <c r="J93" s="456">
        <v>0</v>
      </c>
      <c r="K93" s="452"/>
      <c r="L93" s="452"/>
      <c r="M93" s="452"/>
      <c r="N93" s="452"/>
      <c r="O93" s="452"/>
      <c r="P93" s="452"/>
      <c r="Q93" s="452">
        <v>1</v>
      </c>
      <c r="R93" s="452"/>
      <c r="S93" s="452">
        <v>1</v>
      </c>
      <c r="T93" s="452"/>
      <c r="U93" s="452"/>
      <c r="V93" s="452"/>
      <c r="W93" s="452"/>
      <c r="X93" s="452"/>
      <c r="Y93" s="452"/>
      <c r="Z93" s="535">
        <f t="shared" ref="Z93:Z99" si="12">SUM(K93:Y93)</f>
        <v>2</v>
      </c>
    </row>
    <row r="94" spans="1:26" s="457" customFormat="1" ht="15" customHeight="1" x14ac:dyDescent="0.25">
      <c r="A94" s="563" t="s">
        <v>1653</v>
      </c>
      <c r="B94" s="452" t="s">
        <v>115</v>
      </c>
      <c r="C94" s="453">
        <v>42669</v>
      </c>
      <c r="D94" s="454">
        <v>42692</v>
      </c>
      <c r="E94" s="455">
        <v>22</v>
      </c>
      <c r="F94" s="454">
        <v>42692</v>
      </c>
      <c r="G94" s="455">
        <v>1</v>
      </c>
      <c r="H94" s="456">
        <v>1595</v>
      </c>
      <c r="I94" s="456">
        <v>0</v>
      </c>
      <c r="J94" s="456">
        <f>H94*0.4</f>
        <v>638</v>
      </c>
      <c r="K94" s="452"/>
      <c r="L94" s="452"/>
      <c r="M94" s="452">
        <v>1</v>
      </c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535">
        <f>SUM(K94:Y94)</f>
        <v>1</v>
      </c>
    </row>
    <row r="95" spans="1:26" s="457" customFormat="1" ht="15" customHeight="1" x14ac:dyDescent="0.25">
      <c r="A95" s="563" t="s">
        <v>1518</v>
      </c>
      <c r="B95" s="452" t="s">
        <v>1620</v>
      </c>
      <c r="C95" s="453">
        <v>42696</v>
      </c>
      <c r="D95" s="454">
        <v>42697</v>
      </c>
      <c r="E95" s="455">
        <v>1</v>
      </c>
      <c r="F95" s="454">
        <v>42697</v>
      </c>
      <c r="G95" s="455">
        <v>1</v>
      </c>
      <c r="H95" s="456">
        <v>1595</v>
      </c>
      <c r="I95" s="456">
        <v>0</v>
      </c>
      <c r="J95" s="456">
        <v>638</v>
      </c>
      <c r="K95" s="452"/>
      <c r="L95" s="452"/>
      <c r="M95" s="452"/>
      <c r="N95" s="452"/>
      <c r="O95" s="452"/>
      <c r="P95" s="452">
        <v>1</v>
      </c>
      <c r="Q95" s="452"/>
      <c r="R95" s="452"/>
      <c r="S95" s="452"/>
      <c r="T95" s="452"/>
      <c r="U95" s="452"/>
      <c r="V95" s="452"/>
      <c r="W95" s="452"/>
      <c r="X95" s="452"/>
      <c r="Y95" s="452"/>
      <c r="Z95" s="535">
        <f t="shared" ref="Z95:Z96" si="13">SUM(K95:Y95)</f>
        <v>1</v>
      </c>
    </row>
    <row r="96" spans="1:26" s="457" customFormat="1" ht="15" customHeight="1" x14ac:dyDescent="0.25">
      <c r="A96" s="538"/>
      <c r="B96" s="452"/>
      <c r="C96" s="453"/>
      <c r="D96" s="454"/>
      <c r="E96" s="455"/>
      <c r="F96" s="454"/>
      <c r="G96" s="455"/>
      <c r="H96" s="456"/>
      <c r="I96" s="456"/>
      <c r="J96" s="456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535">
        <f t="shared" si="13"/>
        <v>0</v>
      </c>
    </row>
    <row r="97" spans="1:26" s="457" customFormat="1" ht="15" customHeight="1" x14ac:dyDescent="0.25">
      <c r="A97" s="538"/>
      <c r="B97" s="452"/>
      <c r="C97" s="453"/>
      <c r="D97" s="454"/>
      <c r="E97" s="455"/>
      <c r="F97" s="454"/>
      <c r="G97" s="455"/>
      <c r="H97" s="456"/>
      <c r="I97" s="456"/>
      <c r="J97" s="456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535">
        <f>SUM(K97:Y97)</f>
        <v>0</v>
      </c>
    </row>
    <row r="98" spans="1:26" s="457" customFormat="1" ht="15" customHeight="1" x14ac:dyDescent="0.25">
      <c r="A98" s="541"/>
      <c r="B98" s="452"/>
      <c r="C98" s="453"/>
      <c r="D98" s="454"/>
      <c r="E98" s="455"/>
      <c r="F98" s="454"/>
      <c r="G98" s="455"/>
      <c r="H98" s="456"/>
      <c r="I98" s="456"/>
      <c r="J98" s="456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535">
        <f t="shared" si="12"/>
        <v>0</v>
      </c>
    </row>
    <row r="99" spans="1:26" s="457" customFormat="1" ht="15" customHeight="1" x14ac:dyDescent="0.25">
      <c r="A99" s="541"/>
      <c r="B99" s="452"/>
      <c r="C99" s="453"/>
      <c r="D99" s="454"/>
      <c r="E99" s="455"/>
      <c r="F99" s="454"/>
      <c r="G99" s="455"/>
      <c r="H99" s="456"/>
      <c r="I99" s="456"/>
      <c r="J99" s="456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535">
        <f t="shared" si="12"/>
        <v>0</v>
      </c>
    </row>
    <row r="100" spans="1:26" ht="15" customHeight="1" x14ac:dyDescent="0.25">
      <c r="A100" s="443" t="s">
        <v>450</v>
      </c>
      <c r="B100" s="444"/>
      <c r="C100" s="445"/>
      <c r="D100" s="446"/>
      <c r="E100" s="447"/>
      <c r="F100" s="446"/>
      <c r="G100" s="447">
        <f t="shared" ref="G100" si="14">SUM(G92:G99)</f>
        <v>7</v>
      </c>
      <c r="H100" s="448">
        <f>SUM(H92:H99)</f>
        <v>12727</v>
      </c>
      <c r="I100" s="448">
        <f>SUM(I92:I99)</f>
        <v>0</v>
      </c>
      <c r="J100" s="448">
        <f>SUM(J92:J99)</f>
        <v>3247</v>
      </c>
      <c r="K100" s="447">
        <f>SUM(K92:K99)</f>
        <v>1</v>
      </c>
      <c r="L100" s="447">
        <f t="shared" ref="L100:Z100" si="15">SUM(L92:L99)</f>
        <v>0</v>
      </c>
      <c r="M100" s="447">
        <f t="shared" si="15"/>
        <v>1</v>
      </c>
      <c r="N100" s="447">
        <f t="shared" si="15"/>
        <v>0</v>
      </c>
      <c r="O100" s="447">
        <f t="shared" si="15"/>
        <v>0</v>
      </c>
      <c r="P100" s="447">
        <f t="shared" si="15"/>
        <v>2</v>
      </c>
      <c r="Q100" s="447">
        <f t="shared" si="15"/>
        <v>2</v>
      </c>
      <c r="R100" s="447">
        <f t="shared" si="15"/>
        <v>0</v>
      </c>
      <c r="S100" s="447">
        <f t="shared" si="15"/>
        <v>1</v>
      </c>
      <c r="T100" s="447">
        <f t="shared" si="15"/>
        <v>0</v>
      </c>
      <c r="U100" s="447">
        <f t="shared" si="15"/>
        <v>0</v>
      </c>
      <c r="V100" s="447">
        <f t="shared" si="15"/>
        <v>0</v>
      </c>
      <c r="W100" s="447">
        <f t="shared" si="15"/>
        <v>0</v>
      </c>
      <c r="X100" s="447">
        <f t="shared" si="15"/>
        <v>0</v>
      </c>
      <c r="Y100" s="447">
        <f t="shared" si="15"/>
        <v>0</v>
      </c>
      <c r="Z100" s="447">
        <f t="shared" si="15"/>
        <v>7</v>
      </c>
    </row>
    <row r="102" spans="1:26" x14ac:dyDescent="0.25">
      <c r="A102" s="739" t="s">
        <v>1229</v>
      </c>
      <c r="B102" s="739"/>
    </row>
    <row r="103" spans="1:26" ht="30" x14ac:dyDescent="0.25">
      <c r="A103" s="558" t="s">
        <v>1</v>
      </c>
      <c r="B103" s="558" t="s">
        <v>59</v>
      </c>
      <c r="C103" s="425"/>
      <c r="D103" s="425"/>
      <c r="E103" s="425"/>
      <c r="F103" s="426"/>
      <c r="G103" s="432" t="s">
        <v>1225</v>
      </c>
      <c r="H103" s="427" t="s">
        <v>1224</v>
      </c>
      <c r="I103" s="427" t="s">
        <v>1498</v>
      </c>
      <c r="J103" s="427" t="s">
        <v>94</v>
      </c>
      <c r="K103" s="424" t="s">
        <v>681</v>
      </c>
      <c r="L103" s="424" t="s">
        <v>1496</v>
      </c>
      <c r="M103" s="424" t="s">
        <v>1497</v>
      </c>
      <c r="N103" s="424" t="s">
        <v>682</v>
      </c>
      <c r="O103" s="424" t="s">
        <v>683</v>
      </c>
      <c r="P103" s="424" t="s">
        <v>87</v>
      </c>
      <c r="Q103" s="424" t="s">
        <v>684</v>
      </c>
      <c r="R103" s="424" t="s">
        <v>685</v>
      </c>
      <c r="S103" s="424" t="s">
        <v>690</v>
      </c>
      <c r="T103" s="424" t="s">
        <v>686</v>
      </c>
      <c r="U103" s="424" t="s">
        <v>687</v>
      </c>
      <c r="V103" s="424" t="s">
        <v>688</v>
      </c>
      <c r="W103" s="424" t="s">
        <v>689</v>
      </c>
      <c r="X103" s="424" t="s">
        <v>138</v>
      </c>
      <c r="Y103" s="424" t="s">
        <v>1385</v>
      </c>
      <c r="Z103" s="424" t="s">
        <v>1238</v>
      </c>
    </row>
    <row r="104" spans="1:26" s="457" customFormat="1" ht="15" customHeight="1" x14ac:dyDescent="0.25">
      <c r="A104" s="561" t="s">
        <v>1653</v>
      </c>
      <c r="B104" s="452" t="s">
        <v>115</v>
      </c>
      <c r="C104" s="453">
        <v>42669</v>
      </c>
      <c r="D104" s="454">
        <v>42692</v>
      </c>
      <c r="E104" s="455">
        <v>22</v>
      </c>
      <c r="F104" s="454">
        <v>42692</v>
      </c>
      <c r="G104" s="455">
        <v>-1</v>
      </c>
      <c r="H104" s="456">
        <v>-1595</v>
      </c>
      <c r="I104" s="456">
        <v>0</v>
      </c>
      <c r="J104" s="456">
        <f>H104*0.4</f>
        <v>-638</v>
      </c>
      <c r="K104" s="452"/>
      <c r="L104" s="452"/>
      <c r="M104" s="452"/>
      <c r="N104" s="452"/>
      <c r="O104" s="452"/>
      <c r="P104" s="452">
        <v>-1</v>
      </c>
      <c r="Q104" s="452"/>
      <c r="R104" s="452"/>
      <c r="S104" s="452"/>
      <c r="T104" s="452"/>
      <c r="U104" s="452"/>
      <c r="V104" s="452"/>
      <c r="W104" s="452"/>
      <c r="X104" s="452"/>
      <c r="Y104" s="452"/>
      <c r="Z104" s="535">
        <f t="shared" ref="Z104:Z106" si="16">SUM(K104:Y104)</f>
        <v>-1</v>
      </c>
    </row>
    <row r="105" spans="1:26" ht="15" customHeight="1" x14ac:dyDescent="0.25">
      <c r="A105" s="538"/>
      <c r="B105" s="535"/>
      <c r="C105" s="487"/>
      <c r="D105" s="488"/>
      <c r="E105" s="486"/>
      <c r="F105" s="488"/>
      <c r="G105" s="486"/>
      <c r="H105" s="539"/>
      <c r="I105" s="539"/>
      <c r="J105" s="539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35"/>
      <c r="Z105" s="535">
        <f t="shared" si="16"/>
        <v>0</v>
      </c>
    </row>
    <row r="106" spans="1:26" ht="15" customHeight="1" x14ac:dyDescent="0.25">
      <c r="A106" s="538"/>
      <c r="B106" s="535"/>
      <c r="C106" s="487"/>
      <c r="D106" s="488"/>
      <c r="E106" s="486"/>
      <c r="F106" s="488"/>
      <c r="G106" s="486"/>
      <c r="H106" s="539"/>
      <c r="I106" s="539"/>
      <c r="J106" s="539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535"/>
      <c r="Z106" s="535">
        <f t="shared" si="16"/>
        <v>0</v>
      </c>
    </row>
    <row r="107" spans="1:26" ht="15" customHeight="1" x14ac:dyDescent="0.25">
      <c r="A107" s="443" t="s">
        <v>1230</v>
      </c>
      <c r="B107" s="444"/>
      <c r="C107" s="445"/>
      <c r="D107" s="446"/>
      <c r="E107" s="447"/>
      <c r="F107" s="446"/>
      <c r="G107" s="447">
        <f>SUM(G104:G106)</f>
        <v>-1</v>
      </c>
      <c r="H107" s="448">
        <f>SUM(H104:H106)</f>
        <v>-1595</v>
      </c>
      <c r="I107" s="448">
        <f t="shared" ref="I107:J107" si="17">SUM(I104:I106)</f>
        <v>0</v>
      </c>
      <c r="J107" s="448">
        <f t="shared" si="17"/>
        <v>-638</v>
      </c>
      <c r="K107" s="447">
        <f>SUM(K104:K106)</f>
        <v>0</v>
      </c>
      <c r="L107" s="447">
        <f t="shared" ref="L107:Z107" si="18">SUM(L104:L106)</f>
        <v>0</v>
      </c>
      <c r="M107" s="447">
        <f t="shared" si="18"/>
        <v>0</v>
      </c>
      <c r="N107" s="447">
        <f t="shared" si="18"/>
        <v>0</v>
      </c>
      <c r="O107" s="447">
        <f t="shared" si="18"/>
        <v>0</v>
      </c>
      <c r="P107" s="447">
        <f t="shared" si="18"/>
        <v>-1</v>
      </c>
      <c r="Q107" s="447">
        <f t="shared" si="18"/>
        <v>0</v>
      </c>
      <c r="R107" s="447">
        <f t="shared" si="18"/>
        <v>0</v>
      </c>
      <c r="S107" s="447">
        <f t="shared" si="18"/>
        <v>0</v>
      </c>
      <c r="T107" s="447">
        <f t="shared" si="18"/>
        <v>0</v>
      </c>
      <c r="U107" s="447">
        <f t="shared" si="18"/>
        <v>0</v>
      </c>
      <c r="V107" s="447">
        <f t="shared" si="18"/>
        <v>0</v>
      </c>
      <c r="W107" s="447">
        <f t="shared" si="18"/>
        <v>0</v>
      </c>
      <c r="X107" s="447">
        <f t="shared" si="18"/>
        <v>0</v>
      </c>
      <c r="Y107" s="447">
        <f t="shared" si="18"/>
        <v>0</v>
      </c>
      <c r="Z107" s="447">
        <f t="shared" si="18"/>
        <v>-1</v>
      </c>
    </row>
    <row r="109" spans="1:26" x14ac:dyDescent="0.25">
      <c r="A109" s="739" t="s">
        <v>1231</v>
      </c>
      <c r="B109" s="739"/>
    </row>
    <row r="110" spans="1:26" ht="30" x14ac:dyDescent="0.25">
      <c r="A110" s="558" t="s">
        <v>1</v>
      </c>
      <c r="B110" s="558" t="s">
        <v>59</v>
      </c>
      <c r="C110" s="425"/>
      <c r="D110" s="425"/>
      <c r="E110" s="425"/>
      <c r="F110" s="426"/>
      <c r="G110" s="432" t="s">
        <v>1225</v>
      </c>
      <c r="H110" s="427" t="s">
        <v>1224</v>
      </c>
      <c r="I110" s="427" t="s">
        <v>1498</v>
      </c>
      <c r="J110" s="427" t="s">
        <v>94</v>
      </c>
      <c r="K110" s="424" t="s">
        <v>681</v>
      </c>
      <c r="L110" s="424" t="s">
        <v>1496</v>
      </c>
      <c r="M110" s="424" t="s">
        <v>1497</v>
      </c>
      <c r="N110" s="424" t="s">
        <v>682</v>
      </c>
      <c r="O110" s="424" t="s">
        <v>683</v>
      </c>
      <c r="P110" s="424" t="s">
        <v>87</v>
      </c>
      <c r="Q110" s="424" t="s">
        <v>684</v>
      </c>
      <c r="R110" s="424" t="s">
        <v>685</v>
      </c>
      <c r="S110" s="424" t="s">
        <v>690</v>
      </c>
      <c r="T110" s="424" t="s">
        <v>686</v>
      </c>
      <c r="U110" s="424" t="s">
        <v>687</v>
      </c>
      <c r="V110" s="424" t="s">
        <v>688</v>
      </c>
      <c r="W110" s="424" t="s">
        <v>689</v>
      </c>
      <c r="X110" s="424" t="s">
        <v>138</v>
      </c>
      <c r="Y110" s="424" t="s">
        <v>1385</v>
      </c>
      <c r="Z110" s="424" t="s">
        <v>1238</v>
      </c>
    </row>
    <row r="111" spans="1:26" ht="15" customHeight="1" x14ac:dyDescent="0.25">
      <c r="A111" s="563" t="s">
        <v>306</v>
      </c>
      <c r="B111" s="530" t="s">
        <v>115</v>
      </c>
      <c r="C111" s="487">
        <v>42650</v>
      </c>
      <c r="D111" s="488">
        <v>42703</v>
      </c>
      <c r="E111" s="486">
        <v>52</v>
      </c>
      <c r="F111" s="488">
        <v>42703</v>
      </c>
      <c r="G111" s="531">
        <v>-5</v>
      </c>
      <c r="H111" s="542">
        <v>-8321</v>
      </c>
      <c r="I111" s="539"/>
      <c r="J111" s="539">
        <f>H111*0.4</f>
        <v>-3328.4</v>
      </c>
      <c r="K111" s="535">
        <v>-1</v>
      </c>
      <c r="L111" s="535">
        <v>-1</v>
      </c>
      <c r="M111" s="535">
        <v>-1</v>
      </c>
      <c r="N111" s="535">
        <v>-1</v>
      </c>
      <c r="O111" s="535">
        <v>-1</v>
      </c>
      <c r="P111" s="535"/>
      <c r="Q111" s="535"/>
      <c r="R111" s="535"/>
      <c r="S111" s="535"/>
      <c r="T111" s="535"/>
      <c r="U111" s="535"/>
      <c r="V111" s="535"/>
      <c r="W111" s="535"/>
      <c r="X111" s="535"/>
      <c r="Y111" s="535"/>
      <c r="Z111" s="535">
        <f t="shared" ref="Z111:Z116" si="19">SUM(K111:Y111)</f>
        <v>-5</v>
      </c>
    </row>
    <row r="112" spans="1:26" ht="15" customHeight="1" x14ac:dyDescent="0.25">
      <c r="A112" s="563" t="s">
        <v>307</v>
      </c>
      <c r="B112" s="530" t="s">
        <v>115</v>
      </c>
      <c r="C112" s="487">
        <v>42650</v>
      </c>
      <c r="D112" s="488">
        <v>42703</v>
      </c>
      <c r="E112" s="486">
        <v>52</v>
      </c>
      <c r="F112" s="488">
        <v>42703</v>
      </c>
      <c r="G112" s="531">
        <v>-1</v>
      </c>
      <c r="H112" s="542">
        <v>-865</v>
      </c>
      <c r="I112" s="539"/>
      <c r="J112" s="539">
        <f t="shared" ref="J112:J115" si="20">H112*0.4</f>
        <v>-346</v>
      </c>
      <c r="K112" s="535">
        <v>-1</v>
      </c>
      <c r="L112" s="535"/>
      <c r="M112" s="535"/>
      <c r="N112" s="535"/>
      <c r="O112" s="535"/>
      <c r="P112" s="535"/>
      <c r="Q112" s="535"/>
      <c r="R112" s="535"/>
      <c r="S112" s="535"/>
      <c r="T112" s="535"/>
      <c r="U112" s="535"/>
      <c r="V112" s="535"/>
      <c r="W112" s="535"/>
      <c r="X112" s="535"/>
      <c r="Y112" s="535"/>
      <c r="Z112" s="535">
        <f t="shared" si="19"/>
        <v>-1</v>
      </c>
    </row>
    <row r="113" spans="1:26" ht="15" customHeight="1" x14ac:dyDescent="0.25">
      <c r="A113" s="563" t="s">
        <v>305</v>
      </c>
      <c r="B113" s="530" t="s">
        <v>115</v>
      </c>
      <c r="C113" s="487">
        <v>42650</v>
      </c>
      <c r="D113" s="488">
        <v>42703</v>
      </c>
      <c r="E113" s="486">
        <v>52</v>
      </c>
      <c r="F113" s="488">
        <v>42703</v>
      </c>
      <c r="G113" s="531">
        <v>-1</v>
      </c>
      <c r="H113" s="542">
        <v>-1405</v>
      </c>
      <c r="I113" s="539"/>
      <c r="J113" s="539">
        <f t="shared" si="20"/>
        <v>-562</v>
      </c>
      <c r="K113" s="535">
        <v>-1</v>
      </c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19"/>
        <v>-1</v>
      </c>
    </row>
    <row r="114" spans="1:26" ht="15" customHeight="1" x14ac:dyDescent="0.25">
      <c r="A114" s="563" t="s">
        <v>41</v>
      </c>
      <c r="B114" s="530" t="s">
        <v>115</v>
      </c>
      <c r="C114" s="487">
        <v>42650</v>
      </c>
      <c r="D114" s="488">
        <v>42703</v>
      </c>
      <c r="E114" s="486">
        <v>52</v>
      </c>
      <c r="F114" s="488">
        <v>42703</v>
      </c>
      <c r="G114" s="531">
        <v>-1</v>
      </c>
      <c r="H114" s="542">
        <v>-430</v>
      </c>
      <c r="I114" s="539"/>
      <c r="J114" s="539">
        <f t="shared" si="20"/>
        <v>-172</v>
      </c>
      <c r="K114" s="535">
        <v>-1</v>
      </c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9"/>
        <v>-1</v>
      </c>
    </row>
    <row r="115" spans="1:26" ht="15" customHeight="1" x14ac:dyDescent="0.25">
      <c r="A115" s="563" t="s">
        <v>1135</v>
      </c>
      <c r="B115" s="530" t="s">
        <v>115</v>
      </c>
      <c r="C115" s="487">
        <v>42650</v>
      </c>
      <c r="D115" s="488">
        <v>42703</v>
      </c>
      <c r="E115" s="486">
        <v>52</v>
      </c>
      <c r="F115" s="488">
        <v>42703</v>
      </c>
      <c r="G115" s="531">
        <v>-1</v>
      </c>
      <c r="H115" s="542">
        <v>-1405</v>
      </c>
      <c r="I115" s="539"/>
      <c r="J115" s="539">
        <f t="shared" si="20"/>
        <v>-562</v>
      </c>
      <c r="K115" s="535">
        <v>-1</v>
      </c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>
        <f t="shared" si="19"/>
        <v>-1</v>
      </c>
    </row>
    <row r="116" spans="1:26" ht="15" customHeight="1" x14ac:dyDescent="0.25">
      <c r="A116" s="538"/>
      <c r="B116" s="535"/>
      <c r="C116" s="487"/>
      <c r="D116" s="488"/>
      <c r="E116" s="486"/>
      <c r="F116" s="488"/>
      <c r="G116" s="486"/>
      <c r="H116" s="539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9"/>
        <v>0</v>
      </c>
    </row>
    <row r="117" spans="1:26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ref="Z117:Z119" si="21">SUM(K117:Y117)</f>
        <v>0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21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21"/>
        <v>0</v>
      </c>
    </row>
    <row r="120" spans="1:26" ht="15" customHeight="1" x14ac:dyDescent="0.25">
      <c r="A120" s="443" t="s">
        <v>1230</v>
      </c>
      <c r="B120" s="444"/>
      <c r="C120" s="445"/>
      <c r="D120" s="446"/>
      <c r="E120" s="447"/>
      <c r="F120" s="446"/>
      <c r="G120" s="447">
        <f>SUM(G111:G119)</f>
        <v>-9</v>
      </c>
      <c r="H120" s="448">
        <f>SUM(H111:H119)</f>
        <v>-12426</v>
      </c>
      <c r="I120" s="448">
        <f t="shared" ref="I120:J120" si="22">SUM(I111:I119)</f>
        <v>0</v>
      </c>
      <c r="J120" s="448">
        <f t="shared" si="22"/>
        <v>-4970.3999999999996</v>
      </c>
      <c r="K120" s="447">
        <f>SUM(K111:K119)</f>
        <v>-5</v>
      </c>
      <c r="L120" s="447">
        <f t="shared" ref="L120:Z120" si="23">SUM(L111:L119)</f>
        <v>-1</v>
      </c>
      <c r="M120" s="447">
        <f t="shared" si="23"/>
        <v>-1</v>
      </c>
      <c r="N120" s="447">
        <f t="shared" si="23"/>
        <v>-1</v>
      </c>
      <c r="O120" s="447">
        <f t="shared" si="23"/>
        <v>-1</v>
      </c>
      <c r="P120" s="447">
        <f t="shared" si="23"/>
        <v>0</v>
      </c>
      <c r="Q120" s="447">
        <f t="shared" si="23"/>
        <v>0</v>
      </c>
      <c r="R120" s="447">
        <f t="shared" si="23"/>
        <v>0</v>
      </c>
      <c r="S120" s="447">
        <f t="shared" si="23"/>
        <v>0</v>
      </c>
      <c r="T120" s="447">
        <f t="shared" si="23"/>
        <v>0</v>
      </c>
      <c r="U120" s="447">
        <f t="shared" si="23"/>
        <v>0</v>
      </c>
      <c r="V120" s="447">
        <f t="shared" si="23"/>
        <v>0</v>
      </c>
      <c r="W120" s="447">
        <f t="shared" si="23"/>
        <v>0</v>
      </c>
      <c r="X120" s="447">
        <f t="shared" si="23"/>
        <v>0</v>
      </c>
      <c r="Y120" s="447">
        <f t="shared" si="23"/>
        <v>0</v>
      </c>
      <c r="Z120" s="447">
        <f t="shared" si="23"/>
        <v>-9</v>
      </c>
    </row>
    <row r="121" spans="1:26" ht="15.75" thickBot="1" x14ac:dyDescent="0.3"/>
    <row r="122" spans="1:26" ht="15.75" thickBot="1" x14ac:dyDescent="0.3">
      <c r="A122" s="436" t="s">
        <v>1232</v>
      </c>
      <c r="B122" s="434"/>
      <c r="C122" s="434"/>
      <c r="D122" s="434"/>
      <c r="E122" s="434"/>
      <c r="F122" s="434"/>
      <c r="G122" s="437">
        <f t="shared" ref="G122:W122" si="24">G76+G88+G100+G107+G120</f>
        <v>8</v>
      </c>
      <c r="H122" s="438">
        <f t="shared" si="24"/>
        <v>13187</v>
      </c>
      <c r="I122" s="438">
        <f t="shared" si="24"/>
        <v>13152</v>
      </c>
      <c r="J122" s="438">
        <f t="shared" si="24"/>
        <v>67094.8</v>
      </c>
      <c r="K122" s="450">
        <f t="shared" si="24"/>
        <v>-2</v>
      </c>
      <c r="L122" s="450">
        <f t="shared" si="24"/>
        <v>0</v>
      </c>
      <c r="M122" s="450">
        <f t="shared" si="24"/>
        <v>1</v>
      </c>
      <c r="N122" s="450">
        <f t="shared" si="24"/>
        <v>1</v>
      </c>
      <c r="O122" s="450">
        <f t="shared" si="24"/>
        <v>0</v>
      </c>
      <c r="P122" s="450">
        <f t="shared" si="24"/>
        <v>2</v>
      </c>
      <c r="Q122" s="450">
        <f t="shared" si="24"/>
        <v>2</v>
      </c>
      <c r="R122" s="450">
        <f t="shared" si="24"/>
        <v>0</v>
      </c>
      <c r="S122" s="450">
        <f t="shared" si="24"/>
        <v>1</v>
      </c>
      <c r="T122" s="450">
        <f t="shared" si="24"/>
        <v>0</v>
      </c>
      <c r="U122" s="450">
        <f t="shared" si="24"/>
        <v>0</v>
      </c>
      <c r="V122" s="450">
        <f t="shared" si="24"/>
        <v>0</v>
      </c>
      <c r="W122" s="450">
        <f t="shared" si="24"/>
        <v>0</v>
      </c>
      <c r="X122" s="450"/>
      <c r="Y122" s="450"/>
      <c r="Z122" s="450">
        <f>Z76+Z88+Z100+Z107+Z120</f>
        <v>5</v>
      </c>
    </row>
    <row r="123" spans="1:26" ht="15.75" thickBot="1" x14ac:dyDescent="0.3">
      <c r="A123" s="436" t="s">
        <v>64</v>
      </c>
      <c r="B123" s="434"/>
      <c r="C123" s="434"/>
      <c r="D123" s="434"/>
      <c r="E123" s="434"/>
      <c r="F123" s="434"/>
      <c r="G123" s="437"/>
      <c r="H123" s="438"/>
      <c r="I123" s="438"/>
      <c r="J123" s="438"/>
    </row>
    <row r="124" spans="1:26" ht="15.75" thickBot="1" x14ac:dyDescent="0.3">
      <c r="A124" s="439" t="s">
        <v>452</v>
      </c>
      <c r="B124" s="440"/>
      <c r="C124" s="440"/>
      <c r="D124" s="440"/>
      <c r="E124" s="440"/>
      <c r="F124" s="440"/>
      <c r="G124" s="441"/>
      <c r="H124" s="442">
        <f>H122-H123</f>
        <v>13187</v>
      </c>
      <c r="I124" s="442"/>
      <c r="J124" s="442"/>
    </row>
    <row r="127" spans="1:26" x14ac:dyDescent="0.25">
      <c r="H127" s="435">
        <f>H76+H100+H107+H120</f>
        <v>43</v>
      </c>
      <c r="I127" s="435"/>
      <c r="J127" s="435"/>
    </row>
  </sheetData>
  <sortState ref="A102:Z105">
    <sortCondition ref="A102:A105"/>
  </sortState>
  <mergeCells count="8">
    <mergeCell ref="G3:H3"/>
    <mergeCell ref="A78:B78"/>
    <mergeCell ref="A90:B90"/>
    <mergeCell ref="A102:B102"/>
    <mergeCell ref="A109:B109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-0.249977111117893"/>
  </sheetPr>
  <dimension ref="A1:X108"/>
  <sheetViews>
    <sheetView topLeftCell="A95" zoomScale="80" zoomScaleNormal="8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10" width="11.85546875" style="419" customWidth="1"/>
    <col min="11" max="24" width="6.28515625" style="419" customWidth="1"/>
    <col min="25" max="16384" width="8.85546875" style="419"/>
  </cols>
  <sheetData>
    <row r="1" spans="1:24" x14ac:dyDescent="0.25">
      <c r="A1" s="418" t="s">
        <v>1215</v>
      </c>
    </row>
    <row r="3" spans="1:24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4" ht="30" x14ac:dyDescent="0.25">
      <c r="A4" s="423" t="s">
        <v>1</v>
      </c>
      <c r="B4" s="423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1238</v>
      </c>
    </row>
    <row r="5" spans="1:24" ht="14.45" customHeight="1" x14ac:dyDescent="0.25">
      <c r="A5" s="24" t="s">
        <v>13</v>
      </c>
      <c r="B5" s="24" t="s">
        <v>60</v>
      </c>
      <c r="C5" s="24">
        <v>6</v>
      </c>
      <c r="D5" s="414">
        <v>6364</v>
      </c>
      <c r="E5" s="24">
        <v>6</v>
      </c>
      <c r="F5" s="414">
        <v>7245</v>
      </c>
      <c r="G5" s="24">
        <f>E5-C5</f>
        <v>0</v>
      </c>
      <c r="H5" s="414">
        <f>F5-D5</f>
        <v>881</v>
      </c>
      <c r="I5" s="414"/>
      <c r="J5" s="414"/>
      <c r="K5" s="24"/>
      <c r="L5" s="48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>
        <f>SUM(K5:W5)</f>
        <v>0</v>
      </c>
    </row>
    <row r="6" spans="1:24" ht="14.45" customHeight="1" x14ac:dyDescent="0.25">
      <c r="A6" s="24" t="s">
        <v>12</v>
      </c>
      <c r="B6" s="24" t="s">
        <v>60</v>
      </c>
      <c r="C6" s="24">
        <v>0</v>
      </c>
      <c r="D6" s="414">
        <v>0</v>
      </c>
      <c r="E6" s="24">
        <v>0</v>
      </c>
      <c r="F6" s="414">
        <v>0</v>
      </c>
      <c r="G6" s="24">
        <f t="shared" ref="G6:G67" si="0">E6-C6</f>
        <v>0</v>
      </c>
      <c r="H6" s="414">
        <f t="shared" ref="H6:H67" si="1">F6-D6</f>
        <v>0</v>
      </c>
      <c r="I6" s="414"/>
      <c r="J6" s="414"/>
      <c r="K6" s="24"/>
      <c r="L6" s="48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f t="shared" ref="X6:X67" si="2">SUM(K6:W6)</f>
        <v>0</v>
      </c>
    </row>
    <row r="7" spans="1:24" ht="14.45" customHeight="1" x14ac:dyDescent="0.25">
      <c r="A7" s="24" t="s">
        <v>345</v>
      </c>
      <c r="B7" s="24" t="s">
        <v>60</v>
      </c>
      <c r="C7" s="24">
        <v>2</v>
      </c>
      <c r="D7" s="414">
        <v>1892</v>
      </c>
      <c r="E7" s="24">
        <v>2</v>
      </c>
      <c r="F7" s="414">
        <v>2310</v>
      </c>
      <c r="G7" s="24">
        <f t="shared" si="0"/>
        <v>0</v>
      </c>
      <c r="H7" s="414">
        <f t="shared" si="1"/>
        <v>418</v>
      </c>
      <c r="I7" s="414"/>
      <c r="J7" s="414"/>
      <c r="K7" s="24"/>
      <c r="L7" s="48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f t="shared" si="2"/>
        <v>0</v>
      </c>
    </row>
    <row r="8" spans="1:24" ht="14.45" customHeight="1" x14ac:dyDescent="0.25">
      <c r="A8" s="24" t="s">
        <v>344</v>
      </c>
      <c r="B8" s="24" t="s">
        <v>60</v>
      </c>
      <c r="C8" s="24">
        <v>3</v>
      </c>
      <c r="D8" s="414">
        <v>1806</v>
      </c>
      <c r="E8" s="24">
        <v>2</v>
      </c>
      <c r="F8" s="414">
        <v>1260</v>
      </c>
      <c r="G8" s="24">
        <f t="shared" si="0"/>
        <v>-1</v>
      </c>
      <c r="H8" s="414">
        <f t="shared" si="1"/>
        <v>-546</v>
      </c>
      <c r="I8" s="414"/>
      <c r="J8" s="414"/>
      <c r="K8" s="24"/>
      <c r="L8" s="48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f t="shared" si="2"/>
        <v>0</v>
      </c>
    </row>
    <row r="9" spans="1:24" ht="14.45" customHeight="1" x14ac:dyDescent="0.25">
      <c r="A9" s="24" t="s">
        <v>342</v>
      </c>
      <c r="B9" s="24" t="s">
        <v>60</v>
      </c>
      <c r="C9" s="24">
        <v>8</v>
      </c>
      <c r="D9" s="414">
        <v>6192</v>
      </c>
      <c r="E9" s="24">
        <v>8</v>
      </c>
      <c r="F9" s="414">
        <v>6804</v>
      </c>
      <c r="G9" s="24">
        <f t="shared" si="0"/>
        <v>0</v>
      </c>
      <c r="H9" s="414">
        <f t="shared" si="1"/>
        <v>612</v>
      </c>
      <c r="I9" s="414"/>
      <c r="J9" s="414"/>
      <c r="K9" s="24"/>
      <c r="L9" s="48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f t="shared" si="2"/>
        <v>0</v>
      </c>
    </row>
    <row r="10" spans="1:24" ht="14.45" customHeight="1" x14ac:dyDescent="0.25">
      <c r="A10" s="24" t="s">
        <v>14</v>
      </c>
      <c r="B10" s="24" t="s">
        <v>60</v>
      </c>
      <c r="C10" s="24">
        <v>1</v>
      </c>
      <c r="D10" s="414">
        <v>344</v>
      </c>
      <c r="E10" s="24">
        <v>0</v>
      </c>
      <c r="F10" s="414">
        <v>0</v>
      </c>
      <c r="G10" s="24">
        <f t="shared" si="0"/>
        <v>-1</v>
      </c>
      <c r="H10" s="414">
        <f t="shared" si="1"/>
        <v>-344</v>
      </c>
      <c r="I10" s="414"/>
      <c r="J10" s="414"/>
      <c r="K10" s="24"/>
      <c r="L10" s="48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f t="shared" si="2"/>
        <v>0</v>
      </c>
    </row>
    <row r="11" spans="1:24" ht="14.45" customHeight="1" x14ac:dyDescent="0.25">
      <c r="A11" s="24" t="s">
        <v>347</v>
      </c>
      <c r="B11" s="24" t="s">
        <v>60</v>
      </c>
      <c r="C11" s="24">
        <v>2</v>
      </c>
      <c r="D11" s="414">
        <v>1462</v>
      </c>
      <c r="E11" s="24">
        <v>2</v>
      </c>
      <c r="F11" s="414">
        <v>1785</v>
      </c>
      <c r="G11" s="24">
        <f t="shared" si="0"/>
        <v>0</v>
      </c>
      <c r="H11" s="414">
        <f t="shared" si="1"/>
        <v>323</v>
      </c>
      <c r="I11" s="414"/>
      <c r="J11" s="414"/>
      <c r="K11" s="24"/>
      <c r="L11" s="48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f t="shared" si="2"/>
        <v>0</v>
      </c>
    </row>
    <row r="12" spans="1:24" ht="14.45" customHeight="1" x14ac:dyDescent="0.25">
      <c r="A12" s="24" t="s">
        <v>16</v>
      </c>
      <c r="B12" s="24" t="s">
        <v>60</v>
      </c>
      <c r="C12" s="24">
        <v>6</v>
      </c>
      <c r="D12" s="414">
        <v>3612</v>
      </c>
      <c r="E12" s="24">
        <v>6</v>
      </c>
      <c r="F12" s="414">
        <v>3360</v>
      </c>
      <c r="G12" s="24">
        <f t="shared" si="0"/>
        <v>0</v>
      </c>
      <c r="H12" s="414">
        <f t="shared" si="1"/>
        <v>-252</v>
      </c>
      <c r="I12" s="414"/>
      <c r="J12" s="414"/>
      <c r="K12" s="24"/>
      <c r="L12" s="48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f t="shared" si="2"/>
        <v>0</v>
      </c>
    </row>
    <row r="13" spans="1:24" ht="14.45" customHeight="1" x14ac:dyDescent="0.25">
      <c r="A13" s="24" t="s">
        <v>11</v>
      </c>
      <c r="B13" s="24" t="s">
        <v>60</v>
      </c>
      <c r="C13" s="24">
        <v>7</v>
      </c>
      <c r="D13" s="414">
        <v>6364</v>
      </c>
      <c r="E13" s="24">
        <v>7</v>
      </c>
      <c r="F13" s="414">
        <v>6520.5</v>
      </c>
      <c r="G13" s="24">
        <f t="shared" si="0"/>
        <v>0</v>
      </c>
      <c r="H13" s="414">
        <f t="shared" si="1"/>
        <v>156.5</v>
      </c>
      <c r="I13" s="414"/>
      <c r="J13" s="414"/>
      <c r="K13" s="24"/>
      <c r="L13" s="48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f t="shared" si="2"/>
        <v>0</v>
      </c>
    </row>
    <row r="14" spans="1:24" ht="14.45" customHeight="1" x14ac:dyDescent="0.25">
      <c r="A14" s="24" t="s">
        <v>15</v>
      </c>
      <c r="B14" s="24" t="s">
        <v>60</v>
      </c>
      <c r="C14" s="24">
        <v>7</v>
      </c>
      <c r="D14" s="414">
        <v>4730</v>
      </c>
      <c r="E14" s="24">
        <v>7</v>
      </c>
      <c r="F14" s="414">
        <v>4819.5</v>
      </c>
      <c r="G14" s="24">
        <f t="shared" si="0"/>
        <v>0</v>
      </c>
      <c r="H14" s="414">
        <f t="shared" si="1"/>
        <v>89.5</v>
      </c>
      <c r="I14" s="414"/>
      <c r="J14" s="414"/>
      <c r="K14" s="24"/>
      <c r="L14" s="48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f t="shared" si="2"/>
        <v>0</v>
      </c>
    </row>
    <row r="15" spans="1:24" ht="14.45" customHeight="1" x14ac:dyDescent="0.25">
      <c r="A15" s="24" t="s">
        <v>9</v>
      </c>
      <c r="B15" s="24" t="s">
        <v>60</v>
      </c>
      <c r="C15" s="24">
        <v>4</v>
      </c>
      <c r="D15" s="414">
        <v>3182</v>
      </c>
      <c r="E15" s="24">
        <v>4</v>
      </c>
      <c r="F15" s="414">
        <v>2520</v>
      </c>
      <c r="G15" s="24">
        <f t="shared" si="0"/>
        <v>0</v>
      </c>
      <c r="H15" s="414">
        <f t="shared" si="1"/>
        <v>-662</v>
      </c>
      <c r="I15" s="414"/>
      <c r="J15" s="414"/>
      <c r="K15" s="24"/>
      <c r="L15" s="48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f t="shared" si="2"/>
        <v>0</v>
      </c>
    </row>
    <row r="16" spans="1:24" ht="14.45" customHeight="1" x14ac:dyDescent="0.25">
      <c r="A16" s="24" t="s">
        <v>7</v>
      </c>
      <c r="B16" s="24" t="s">
        <v>60</v>
      </c>
      <c r="C16" s="24">
        <v>8</v>
      </c>
      <c r="D16" s="414">
        <v>13244</v>
      </c>
      <c r="E16" s="24">
        <v>8</v>
      </c>
      <c r="F16" s="414">
        <v>13608</v>
      </c>
      <c r="G16" s="24">
        <f t="shared" si="0"/>
        <v>0</v>
      </c>
      <c r="H16" s="414">
        <f t="shared" si="1"/>
        <v>364</v>
      </c>
      <c r="I16" s="414"/>
      <c r="J16" s="414"/>
      <c r="K16" s="24"/>
      <c r="L16" s="48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f t="shared" si="2"/>
        <v>0</v>
      </c>
    </row>
    <row r="17" spans="1:24" ht="14.45" customHeight="1" x14ac:dyDescent="0.25">
      <c r="A17" s="24" t="s">
        <v>8</v>
      </c>
      <c r="B17" s="24" t="s">
        <v>60</v>
      </c>
      <c r="C17" s="24">
        <v>2</v>
      </c>
      <c r="D17" s="414">
        <v>688</v>
      </c>
      <c r="E17" s="24">
        <v>2</v>
      </c>
      <c r="F17" s="414">
        <v>840</v>
      </c>
      <c r="G17" s="24">
        <f t="shared" si="0"/>
        <v>0</v>
      </c>
      <c r="H17" s="414">
        <f t="shared" si="1"/>
        <v>152</v>
      </c>
      <c r="I17" s="414"/>
      <c r="J17" s="414"/>
      <c r="K17" s="24"/>
      <c r="L17" s="48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f t="shared" si="2"/>
        <v>0</v>
      </c>
    </row>
    <row r="18" spans="1:24" ht="14.45" customHeight="1" x14ac:dyDescent="0.25">
      <c r="A18" s="24" t="s">
        <v>8</v>
      </c>
      <c r="B18" s="24" t="s">
        <v>60</v>
      </c>
      <c r="C18" s="24">
        <v>7</v>
      </c>
      <c r="D18" s="414">
        <v>5934</v>
      </c>
      <c r="E18" s="24">
        <v>7</v>
      </c>
      <c r="F18" s="414">
        <v>6048</v>
      </c>
      <c r="G18" s="24">
        <f t="shared" si="0"/>
        <v>0</v>
      </c>
      <c r="H18" s="414">
        <f t="shared" si="1"/>
        <v>114</v>
      </c>
      <c r="I18" s="414"/>
      <c r="J18" s="414"/>
      <c r="K18" s="24"/>
      <c r="L18" s="48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f t="shared" si="2"/>
        <v>0</v>
      </c>
    </row>
    <row r="19" spans="1:24" ht="14.45" customHeight="1" x14ac:dyDescent="0.25">
      <c r="A19" s="24" t="s">
        <v>1213</v>
      </c>
      <c r="B19" s="24" t="s">
        <v>60</v>
      </c>
      <c r="C19" s="24">
        <v>8</v>
      </c>
      <c r="D19" s="414">
        <v>12213</v>
      </c>
      <c r="E19" s="24">
        <v>8</v>
      </c>
      <c r="F19" s="414">
        <v>12249</v>
      </c>
      <c r="G19" s="24">
        <f t="shared" si="0"/>
        <v>0</v>
      </c>
      <c r="H19" s="414">
        <f t="shared" si="1"/>
        <v>36</v>
      </c>
      <c r="I19" s="414"/>
      <c r="J19" s="414"/>
      <c r="K19" s="24"/>
      <c r="L19" s="48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>
        <f t="shared" si="2"/>
        <v>0</v>
      </c>
    </row>
    <row r="20" spans="1:24" ht="14.45" customHeight="1" x14ac:dyDescent="0.25">
      <c r="A20" s="24" t="s">
        <v>377</v>
      </c>
      <c r="B20" s="24" t="s">
        <v>60</v>
      </c>
      <c r="C20" s="24">
        <v>1</v>
      </c>
      <c r="D20" s="414">
        <v>800</v>
      </c>
      <c r="E20" s="24">
        <v>1</v>
      </c>
      <c r="F20" s="414">
        <v>430</v>
      </c>
      <c r="G20" s="24">
        <f t="shared" si="0"/>
        <v>0</v>
      </c>
      <c r="H20" s="414">
        <f t="shared" si="1"/>
        <v>-370</v>
      </c>
      <c r="I20" s="414"/>
      <c r="J20" s="414"/>
      <c r="K20" s="24"/>
      <c r="L20" s="48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f t="shared" si="2"/>
        <v>0</v>
      </c>
    </row>
    <row r="21" spans="1:24" ht="14.45" customHeight="1" x14ac:dyDescent="0.25">
      <c r="A21" s="24" t="s">
        <v>335</v>
      </c>
      <c r="B21" s="24" t="s">
        <v>60</v>
      </c>
      <c r="C21" s="24">
        <v>4</v>
      </c>
      <c r="D21" s="414">
        <v>5040</v>
      </c>
      <c r="E21" s="24">
        <v>4</v>
      </c>
      <c r="F21" s="414">
        <v>5185</v>
      </c>
      <c r="G21" s="24">
        <f t="shared" si="0"/>
        <v>0</v>
      </c>
      <c r="H21" s="414">
        <f t="shared" si="1"/>
        <v>145</v>
      </c>
      <c r="I21" s="414"/>
      <c r="J21" s="414"/>
      <c r="K21" s="24"/>
      <c r="L21" s="48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f t="shared" si="2"/>
        <v>0</v>
      </c>
    </row>
    <row r="22" spans="1:24" ht="14.45" customHeight="1" x14ac:dyDescent="0.25">
      <c r="A22" s="24" t="s">
        <v>336</v>
      </c>
      <c r="B22" s="24" t="s">
        <v>60</v>
      </c>
      <c r="C22" s="24">
        <v>4</v>
      </c>
      <c r="D22" s="414">
        <v>2520</v>
      </c>
      <c r="E22" s="24">
        <v>4</v>
      </c>
      <c r="F22" s="414">
        <v>2590</v>
      </c>
      <c r="G22" s="24">
        <f t="shared" si="0"/>
        <v>0</v>
      </c>
      <c r="H22" s="414">
        <f t="shared" si="1"/>
        <v>70</v>
      </c>
      <c r="I22" s="414"/>
      <c r="J22" s="414"/>
      <c r="K22" s="24"/>
      <c r="L22" s="48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f t="shared" si="2"/>
        <v>0</v>
      </c>
    </row>
    <row r="23" spans="1:24" ht="14.45" customHeight="1" x14ac:dyDescent="0.25">
      <c r="A23" s="24" t="s">
        <v>234</v>
      </c>
      <c r="B23" s="24" t="s">
        <v>60</v>
      </c>
      <c r="C23" s="24">
        <v>1</v>
      </c>
      <c r="D23" s="414">
        <v>1550</v>
      </c>
      <c r="E23" s="24">
        <v>1</v>
      </c>
      <c r="F23" s="414">
        <v>1595</v>
      </c>
      <c r="G23" s="24">
        <f t="shared" si="0"/>
        <v>0</v>
      </c>
      <c r="H23" s="414">
        <f t="shared" si="1"/>
        <v>45</v>
      </c>
      <c r="I23" s="414"/>
      <c r="J23" s="414"/>
      <c r="K23" s="24"/>
      <c r="L23" s="48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f t="shared" si="2"/>
        <v>0</v>
      </c>
    </row>
    <row r="24" spans="1:24" ht="14.45" customHeight="1" x14ac:dyDescent="0.25">
      <c r="A24" s="24" t="s">
        <v>233</v>
      </c>
      <c r="B24" s="24" t="s">
        <v>60</v>
      </c>
      <c r="C24" s="24">
        <v>1</v>
      </c>
      <c r="D24" s="414">
        <v>1550</v>
      </c>
      <c r="E24" s="24">
        <v>1</v>
      </c>
      <c r="F24" s="414">
        <v>1595</v>
      </c>
      <c r="G24" s="24">
        <f t="shared" si="0"/>
        <v>0</v>
      </c>
      <c r="H24" s="414">
        <f t="shared" si="1"/>
        <v>45</v>
      </c>
      <c r="I24" s="414"/>
      <c r="J24" s="414"/>
      <c r="K24" s="24"/>
      <c r="L24" s="48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f t="shared" si="2"/>
        <v>0</v>
      </c>
    </row>
    <row r="25" spans="1:24" ht="14.45" customHeight="1" x14ac:dyDescent="0.25">
      <c r="A25" s="24" t="s">
        <v>235</v>
      </c>
      <c r="B25" s="24" t="s">
        <v>60</v>
      </c>
      <c r="C25" s="24">
        <v>1</v>
      </c>
      <c r="D25" s="414">
        <v>1550</v>
      </c>
      <c r="E25" s="24">
        <v>1</v>
      </c>
      <c r="F25" s="414">
        <v>1595</v>
      </c>
      <c r="G25" s="24">
        <f t="shared" si="0"/>
        <v>0</v>
      </c>
      <c r="H25" s="414">
        <f t="shared" si="1"/>
        <v>45</v>
      </c>
      <c r="I25" s="414"/>
      <c r="J25" s="414"/>
      <c r="K25" s="24"/>
      <c r="L25" s="48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f t="shared" si="2"/>
        <v>0</v>
      </c>
    </row>
    <row r="26" spans="1:24" ht="14.45" customHeight="1" x14ac:dyDescent="0.25">
      <c r="A26" s="24" t="s">
        <v>209</v>
      </c>
      <c r="B26" s="24" t="s">
        <v>61</v>
      </c>
      <c r="C26" s="24">
        <v>6</v>
      </c>
      <c r="D26" s="414">
        <v>8820</v>
      </c>
      <c r="E26" s="24">
        <v>6</v>
      </c>
      <c r="F26" s="414">
        <v>9261</v>
      </c>
      <c r="G26" s="24">
        <f t="shared" si="0"/>
        <v>0</v>
      </c>
      <c r="H26" s="414">
        <f t="shared" si="1"/>
        <v>441</v>
      </c>
      <c r="I26" s="414"/>
      <c r="J26" s="414"/>
      <c r="K26" s="24"/>
      <c r="L26" s="483"/>
      <c r="M26" s="24"/>
      <c r="N26" s="24">
        <v>1</v>
      </c>
      <c r="O26" s="24"/>
      <c r="P26" s="24"/>
      <c r="Q26" s="24"/>
      <c r="R26" s="24">
        <v>-1</v>
      </c>
      <c r="S26" s="24"/>
      <c r="T26" s="24"/>
      <c r="U26" s="24"/>
      <c r="V26" s="24"/>
      <c r="W26" s="24"/>
      <c r="X26" s="24">
        <f t="shared" si="2"/>
        <v>0</v>
      </c>
    </row>
    <row r="27" spans="1:24" ht="14.45" customHeight="1" x14ac:dyDescent="0.25">
      <c r="A27" s="24" t="s">
        <v>205</v>
      </c>
      <c r="B27" s="24" t="s">
        <v>61</v>
      </c>
      <c r="C27" s="24">
        <v>8</v>
      </c>
      <c r="D27" s="414">
        <v>10112</v>
      </c>
      <c r="E27" s="24">
        <v>8</v>
      </c>
      <c r="F27" s="414">
        <v>9913.5</v>
      </c>
      <c r="G27" s="24">
        <f t="shared" si="0"/>
        <v>0</v>
      </c>
      <c r="H27" s="414">
        <f t="shared" si="1"/>
        <v>-198.5</v>
      </c>
      <c r="I27" s="414"/>
      <c r="J27" s="414"/>
      <c r="K27" s="24"/>
      <c r="L27" s="48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>
        <f t="shared" si="2"/>
        <v>0</v>
      </c>
    </row>
    <row r="28" spans="1:24" ht="14.45" customHeight="1" x14ac:dyDescent="0.25">
      <c r="A28" s="27" t="s">
        <v>346</v>
      </c>
      <c r="B28" s="24" t="s">
        <v>60</v>
      </c>
      <c r="C28" s="24">
        <v>10</v>
      </c>
      <c r="D28" s="414">
        <v>16200</v>
      </c>
      <c r="E28" s="24">
        <v>10</v>
      </c>
      <c r="F28" s="414">
        <v>15950</v>
      </c>
      <c r="G28" s="24">
        <f t="shared" si="0"/>
        <v>0</v>
      </c>
      <c r="H28" s="414">
        <f t="shared" si="1"/>
        <v>-250</v>
      </c>
      <c r="I28" s="414"/>
      <c r="J28" s="414"/>
      <c r="K28" s="24"/>
      <c r="L28" s="48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f t="shared" si="2"/>
        <v>0</v>
      </c>
    </row>
    <row r="29" spans="1:24" ht="14.45" customHeight="1" x14ac:dyDescent="0.25">
      <c r="A29" s="24" t="s">
        <v>241</v>
      </c>
      <c r="B29" s="24" t="s">
        <v>60</v>
      </c>
      <c r="C29" s="24">
        <v>6</v>
      </c>
      <c r="D29" s="414">
        <v>7470</v>
      </c>
      <c r="E29" s="24">
        <v>6</v>
      </c>
      <c r="F29" s="414">
        <v>6825</v>
      </c>
      <c r="G29" s="24">
        <f t="shared" si="0"/>
        <v>0</v>
      </c>
      <c r="H29" s="414">
        <f t="shared" si="1"/>
        <v>-645</v>
      </c>
      <c r="I29" s="414"/>
      <c r="J29" s="414"/>
      <c r="K29" s="24"/>
      <c r="L29" s="48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f t="shared" si="2"/>
        <v>0</v>
      </c>
    </row>
    <row r="30" spans="1:24" ht="14.45" customHeight="1" x14ac:dyDescent="0.25">
      <c r="A30" s="24" t="s">
        <v>240</v>
      </c>
      <c r="B30" s="24" t="s">
        <v>60</v>
      </c>
      <c r="C30" s="24">
        <v>1</v>
      </c>
      <c r="D30" s="414">
        <v>2070</v>
      </c>
      <c r="E30" s="24">
        <v>1</v>
      </c>
      <c r="F30" s="414">
        <v>2415</v>
      </c>
      <c r="G30" s="24">
        <f t="shared" si="0"/>
        <v>0</v>
      </c>
      <c r="H30" s="414">
        <f t="shared" si="1"/>
        <v>345</v>
      </c>
      <c r="I30" s="414"/>
      <c r="J30" s="414"/>
      <c r="K30" s="24"/>
      <c r="L30" s="48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f t="shared" si="2"/>
        <v>0</v>
      </c>
    </row>
    <row r="31" spans="1:24" ht="14.45" customHeight="1" x14ac:dyDescent="0.25">
      <c r="A31" s="24" t="s">
        <v>239</v>
      </c>
      <c r="B31" s="24" t="s">
        <v>60</v>
      </c>
      <c r="C31" s="24">
        <v>1</v>
      </c>
      <c r="D31" s="414">
        <v>720</v>
      </c>
      <c r="E31" s="24">
        <v>1</v>
      </c>
      <c r="F31" s="414">
        <v>840</v>
      </c>
      <c r="G31" s="24">
        <f t="shared" si="0"/>
        <v>0</v>
      </c>
      <c r="H31" s="414">
        <f t="shared" si="1"/>
        <v>120</v>
      </c>
      <c r="I31" s="414"/>
      <c r="J31" s="414"/>
      <c r="K31" s="24"/>
      <c r="L31" s="48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f t="shared" si="2"/>
        <v>0</v>
      </c>
    </row>
    <row r="32" spans="1:24" ht="14.45" customHeight="1" x14ac:dyDescent="0.25">
      <c r="A32" s="24" t="s">
        <v>238</v>
      </c>
      <c r="B32" s="24" t="s">
        <v>60</v>
      </c>
      <c r="C32" s="24">
        <v>5</v>
      </c>
      <c r="D32" s="414">
        <v>5940</v>
      </c>
      <c r="E32" s="24">
        <v>5</v>
      </c>
      <c r="F32" s="414">
        <v>6825</v>
      </c>
      <c r="G32" s="24">
        <f t="shared" si="0"/>
        <v>0</v>
      </c>
      <c r="H32" s="414">
        <f t="shared" si="1"/>
        <v>885</v>
      </c>
      <c r="I32" s="414"/>
      <c r="J32" s="414"/>
      <c r="K32" s="24"/>
      <c r="L32" s="48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>
        <f t="shared" si="2"/>
        <v>0</v>
      </c>
    </row>
    <row r="33" spans="1:24" ht="14.45" customHeight="1" x14ac:dyDescent="0.25">
      <c r="A33" s="24" t="s">
        <v>237</v>
      </c>
      <c r="B33" s="24" t="s">
        <v>60</v>
      </c>
      <c r="C33" s="24">
        <v>8</v>
      </c>
      <c r="D33" s="414">
        <v>13860</v>
      </c>
      <c r="E33" s="24">
        <v>8</v>
      </c>
      <c r="F33" s="414">
        <v>13230</v>
      </c>
      <c r="G33" s="24">
        <f t="shared" si="0"/>
        <v>0</v>
      </c>
      <c r="H33" s="414">
        <f t="shared" si="1"/>
        <v>-630</v>
      </c>
      <c r="I33" s="414"/>
      <c r="J33" s="414"/>
      <c r="K33" s="24"/>
      <c r="L33" s="48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f t="shared" si="2"/>
        <v>0</v>
      </c>
    </row>
    <row r="34" spans="1:24" ht="14.45" customHeight="1" x14ac:dyDescent="0.25">
      <c r="A34" s="24" t="s">
        <v>236</v>
      </c>
      <c r="B34" s="24" t="s">
        <v>60</v>
      </c>
      <c r="C34" s="24">
        <v>1</v>
      </c>
      <c r="D34" s="414">
        <v>1620</v>
      </c>
      <c r="E34" s="24">
        <v>1</v>
      </c>
      <c r="F34" s="414">
        <v>2415</v>
      </c>
      <c r="G34" s="24">
        <f t="shared" si="0"/>
        <v>0</v>
      </c>
      <c r="H34" s="414">
        <f t="shared" si="1"/>
        <v>795</v>
      </c>
      <c r="I34" s="414"/>
      <c r="J34" s="414"/>
      <c r="K34" s="24"/>
      <c r="L34" s="48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f t="shared" si="2"/>
        <v>0</v>
      </c>
    </row>
    <row r="35" spans="1:24" ht="14.45" customHeight="1" x14ac:dyDescent="0.25">
      <c r="A35" s="24" t="s">
        <v>296</v>
      </c>
      <c r="B35" s="24" t="s">
        <v>60</v>
      </c>
      <c r="C35" s="24">
        <v>7</v>
      </c>
      <c r="D35" s="414">
        <v>10860</v>
      </c>
      <c r="E35" s="24">
        <v>7</v>
      </c>
      <c r="F35" s="414">
        <v>11767.5</v>
      </c>
      <c r="G35" s="24">
        <f t="shared" si="0"/>
        <v>0</v>
      </c>
      <c r="H35" s="414">
        <f t="shared" si="1"/>
        <v>907.5</v>
      </c>
      <c r="I35" s="414"/>
      <c r="J35" s="414"/>
      <c r="K35" s="24"/>
      <c r="L35" s="48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f t="shared" si="2"/>
        <v>0</v>
      </c>
    </row>
    <row r="36" spans="1:24" ht="14.45" customHeight="1" x14ac:dyDescent="0.25">
      <c r="A36" s="24" t="s">
        <v>62</v>
      </c>
      <c r="B36" s="24" t="s">
        <v>60</v>
      </c>
      <c r="C36" s="24">
        <v>2</v>
      </c>
      <c r="D36" s="414">
        <v>4830</v>
      </c>
      <c r="E36" s="24">
        <v>2</v>
      </c>
      <c r="F36" s="414">
        <v>3190</v>
      </c>
      <c r="G36" s="24">
        <f t="shared" si="0"/>
        <v>0</v>
      </c>
      <c r="H36" s="414">
        <f t="shared" si="1"/>
        <v>-1640</v>
      </c>
      <c r="I36" s="414"/>
      <c r="J36" s="414"/>
      <c r="K36" s="24"/>
      <c r="L36" s="48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f t="shared" si="2"/>
        <v>0</v>
      </c>
    </row>
    <row r="37" spans="1:24" ht="14.45" customHeight="1" x14ac:dyDescent="0.25">
      <c r="A37" s="24" t="s">
        <v>177</v>
      </c>
      <c r="B37" s="24" t="s">
        <v>60</v>
      </c>
      <c r="C37" s="24">
        <v>6</v>
      </c>
      <c r="D37" s="414">
        <v>8820</v>
      </c>
      <c r="E37" s="24">
        <v>6</v>
      </c>
      <c r="F37" s="414">
        <v>9300</v>
      </c>
      <c r="G37" s="24">
        <f t="shared" si="0"/>
        <v>0</v>
      </c>
      <c r="H37" s="414">
        <f t="shared" si="1"/>
        <v>480</v>
      </c>
      <c r="I37" s="414"/>
      <c r="J37" s="414"/>
      <c r="K37" s="24"/>
      <c r="L37" s="48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>
        <f t="shared" si="2"/>
        <v>0</v>
      </c>
    </row>
    <row r="38" spans="1:24" ht="14.45" customHeight="1" x14ac:dyDescent="0.25">
      <c r="A38" s="24" t="s">
        <v>105</v>
      </c>
      <c r="B38" s="24" t="s">
        <v>60</v>
      </c>
      <c r="C38" s="24">
        <v>1</v>
      </c>
      <c r="D38" s="414">
        <v>2300</v>
      </c>
      <c r="E38" s="24">
        <v>1</v>
      </c>
      <c r="F38" s="414">
        <v>1595</v>
      </c>
      <c r="G38" s="24">
        <f t="shared" si="0"/>
        <v>0</v>
      </c>
      <c r="H38" s="414">
        <f t="shared" si="1"/>
        <v>-705</v>
      </c>
      <c r="I38" s="414"/>
      <c r="J38" s="414"/>
      <c r="K38" s="24"/>
      <c r="L38" s="48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f t="shared" si="2"/>
        <v>0</v>
      </c>
    </row>
    <row r="39" spans="1:24" ht="14.45" customHeight="1" x14ac:dyDescent="0.25">
      <c r="A39" s="24" t="s">
        <v>106</v>
      </c>
      <c r="B39" s="24" t="s">
        <v>60</v>
      </c>
      <c r="C39" s="24">
        <v>1</v>
      </c>
      <c r="D39" s="414">
        <v>2300</v>
      </c>
      <c r="E39" s="24">
        <v>1</v>
      </c>
      <c r="F39" s="414">
        <v>1595</v>
      </c>
      <c r="G39" s="24">
        <f t="shared" si="0"/>
        <v>0</v>
      </c>
      <c r="H39" s="414">
        <f t="shared" si="1"/>
        <v>-705</v>
      </c>
      <c r="I39" s="414"/>
      <c r="J39" s="414"/>
      <c r="K39" s="24"/>
      <c r="L39" s="48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f t="shared" si="2"/>
        <v>0</v>
      </c>
    </row>
    <row r="40" spans="1:24" ht="14.45" customHeight="1" x14ac:dyDescent="0.25">
      <c r="A40" s="24" t="s">
        <v>108</v>
      </c>
      <c r="B40" s="24" t="s">
        <v>60</v>
      </c>
      <c r="C40" s="24">
        <v>1</v>
      </c>
      <c r="D40" s="414">
        <v>2300</v>
      </c>
      <c r="E40" s="24">
        <v>1</v>
      </c>
      <c r="F40" s="414">
        <v>1595</v>
      </c>
      <c r="G40" s="24">
        <f t="shared" si="0"/>
        <v>0</v>
      </c>
      <c r="H40" s="414">
        <f t="shared" si="1"/>
        <v>-705</v>
      </c>
      <c r="I40" s="414"/>
      <c r="J40" s="414"/>
      <c r="K40" s="24"/>
      <c r="L40" s="48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f t="shared" si="2"/>
        <v>0</v>
      </c>
    </row>
    <row r="41" spans="1:24" ht="14.45" customHeight="1" x14ac:dyDescent="0.25">
      <c r="A41" s="24" t="s">
        <v>107</v>
      </c>
      <c r="B41" s="24" t="s">
        <v>60</v>
      </c>
      <c r="C41" s="24">
        <v>1</v>
      </c>
      <c r="D41" s="414">
        <v>2300</v>
      </c>
      <c r="E41" s="24">
        <v>1</v>
      </c>
      <c r="F41" s="414">
        <v>1595</v>
      </c>
      <c r="G41" s="24">
        <f t="shared" si="0"/>
        <v>0</v>
      </c>
      <c r="H41" s="414">
        <f t="shared" si="1"/>
        <v>-705</v>
      </c>
      <c r="I41" s="414"/>
      <c r="J41" s="414"/>
      <c r="K41" s="24"/>
      <c r="L41" s="48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f t="shared" si="2"/>
        <v>0</v>
      </c>
    </row>
    <row r="42" spans="1:24" ht="14.45" customHeight="1" x14ac:dyDescent="0.25">
      <c r="A42" s="24" t="s">
        <v>109</v>
      </c>
      <c r="B42" s="24" t="s">
        <v>60</v>
      </c>
      <c r="C42" s="24">
        <v>1</v>
      </c>
      <c r="D42" s="414">
        <v>2300</v>
      </c>
      <c r="E42" s="24">
        <v>1</v>
      </c>
      <c r="F42" s="414">
        <v>1595</v>
      </c>
      <c r="G42" s="24">
        <f t="shared" si="0"/>
        <v>0</v>
      </c>
      <c r="H42" s="414">
        <f t="shared" si="1"/>
        <v>-705</v>
      </c>
      <c r="I42" s="414"/>
      <c r="J42" s="414"/>
      <c r="K42" s="24"/>
      <c r="L42" s="48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f t="shared" si="2"/>
        <v>0</v>
      </c>
    </row>
    <row r="43" spans="1:24" ht="15" customHeight="1" x14ac:dyDescent="0.25">
      <c r="A43" s="24" t="s">
        <v>286</v>
      </c>
      <c r="B43" s="24" t="s">
        <v>60</v>
      </c>
      <c r="C43" s="24">
        <v>9</v>
      </c>
      <c r="D43" s="414">
        <v>12330</v>
      </c>
      <c r="E43" s="24">
        <v>9</v>
      </c>
      <c r="F43" s="414">
        <v>12541.5</v>
      </c>
      <c r="G43" s="24">
        <f t="shared" si="0"/>
        <v>0</v>
      </c>
      <c r="H43" s="414">
        <f t="shared" si="1"/>
        <v>211.5</v>
      </c>
      <c r="I43" s="414"/>
      <c r="J43" s="414"/>
      <c r="K43" s="24"/>
      <c r="L43" s="48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f t="shared" si="2"/>
        <v>0</v>
      </c>
    </row>
    <row r="44" spans="1:24" ht="15" customHeight="1" x14ac:dyDescent="0.25">
      <c r="A44" s="24" t="s">
        <v>161</v>
      </c>
      <c r="B44" s="24" t="s">
        <v>61</v>
      </c>
      <c r="C44" s="24">
        <v>9</v>
      </c>
      <c r="D44" s="414">
        <v>12330</v>
      </c>
      <c r="E44" s="24">
        <v>9</v>
      </c>
      <c r="F44" s="414">
        <v>11961</v>
      </c>
      <c r="G44" s="24">
        <f t="shared" si="0"/>
        <v>0</v>
      </c>
      <c r="H44" s="414">
        <f t="shared" si="1"/>
        <v>-369</v>
      </c>
      <c r="I44" s="414"/>
      <c r="J44" s="414"/>
      <c r="K44" s="24"/>
      <c r="L44" s="48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f t="shared" si="2"/>
        <v>0</v>
      </c>
    </row>
    <row r="45" spans="1:24" ht="15" customHeight="1" x14ac:dyDescent="0.25">
      <c r="A45" s="24" t="s">
        <v>182</v>
      </c>
      <c r="B45" s="24" t="s">
        <v>61</v>
      </c>
      <c r="C45" s="24">
        <v>7</v>
      </c>
      <c r="D45" s="414">
        <v>13140</v>
      </c>
      <c r="E45" s="24">
        <v>7</v>
      </c>
      <c r="F45" s="414">
        <v>11165</v>
      </c>
      <c r="G45" s="24">
        <f t="shared" si="0"/>
        <v>0</v>
      </c>
      <c r="H45" s="414">
        <f t="shared" si="1"/>
        <v>-1975</v>
      </c>
      <c r="I45" s="414"/>
      <c r="J45" s="414"/>
      <c r="K45" s="24"/>
      <c r="L45" s="48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>
        <f t="shared" si="2"/>
        <v>0</v>
      </c>
    </row>
    <row r="46" spans="1:24" ht="15" customHeight="1" x14ac:dyDescent="0.25">
      <c r="A46" s="24" t="s">
        <v>1163</v>
      </c>
      <c r="B46" s="24" t="s">
        <v>61</v>
      </c>
      <c r="C46" s="24">
        <v>5</v>
      </c>
      <c r="D46" s="414">
        <v>5950</v>
      </c>
      <c r="E46" s="24">
        <v>5</v>
      </c>
      <c r="F46" s="414">
        <v>9185</v>
      </c>
      <c r="G46" s="24">
        <f t="shared" si="0"/>
        <v>0</v>
      </c>
      <c r="H46" s="414">
        <f t="shared" si="1"/>
        <v>3235</v>
      </c>
      <c r="I46" s="414"/>
      <c r="J46" s="414"/>
      <c r="K46" s="24"/>
      <c r="L46" s="48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f t="shared" si="2"/>
        <v>0</v>
      </c>
    </row>
    <row r="47" spans="1:24" ht="15" customHeight="1" x14ac:dyDescent="0.25">
      <c r="A47" s="24" t="s">
        <v>298</v>
      </c>
      <c r="B47" s="24" t="s">
        <v>60</v>
      </c>
      <c r="C47" s="24">
        <v>4</v>
      </c>
      <c r="D47" s="414">
        <v>6200</v>
      </c>
      <c r="E47" s="24">
        <v>4</v>
      </c>
      <c r="F47" s="414">
        <v>6510</v>
      </c>
      <c r="G47" s="24">
        <f t="shared" si="0"/>
        <v>0</v>
      </c>
      <c r="H47" s="414">
        <f t="shared" si="1"/>
        <v>310</v>
      </c>
      <c r="I47" s="414"/>
      <c r="J47" s="414"/>
      <c r="K47" s="24"/>
      <c r="L47" s="48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f t="shared" si="2"/>
        <v>0</v>
      </c>
    </row>
    <row r="48" spans="1:24" ht="15" customHeight="1" x14ac:dyDescent="0.25">
      <c r="A48" s="24" t="s">
        <v>213</v>
      </c>
      <c r="B48" s="24" t="s">
        <v>61</v>
      </c>
      <c r="C48" s="24">
        <v>7</v>
      </c>
      <c r="D48" s="414">
        <v>9167</v>
      </c>
      <c r="E48" s="24">
        <v>7</v>
      </c>
      <c r="F48" s="414">
        <v>8554.5</v>
      </c>
      <c r="G48" s="24">
        <f t="shared" si="0"/>
        <v>0</v>
      </c>
      <c r="H48" s="414">
        <f t="shared" si="1"/>
        <v>-612.5</v>
      </c>
      <c r="I48" s="414"/>
      <c r="J48" s="414"/>
      <c r="K48" s="24"/>
      <c r="L48" s="48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>
        <f t="shared" si="2"/>
        <v>0</v>
      </c>
    </row>
    <row r="49" spans="1:24" ht="15" customHeight="1" x14ac:dyDescent="0.25">
      <c r="A49" s="24" t="s">
        <v>5</v>
      </c>
      <c r="B49" s="24" t="s">
        <v>60</v>
      </c>
      <c r="C49" s="24">
        <v>10</v>
      </c>
      <c r="D49" s="414">
        <v>11731</v>
      </c>
      <c r="E49" s="24">
        <v>10</v>
      </c>
      <c r="F49" s="414">
        <v>11738.2</v>
      </c>
      <c r="G49" s="24">
        <f t="shared" si="0"/>
        <v>0</v>
      </c>
      <c r="H49" s="414">
        <f t="shared" si="1"/>
        <v>7.2000000000007276</v>
      </c>
      <c r="I49" s="414"/>
      <c r="J49" s="414"/>
      <c r="K49" s="24"/>
      <c r="L49" s="48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>
        <f t="shared" si="2"/>
        <v>0</v>
      </c>
    </row>
    <row r="50" spans="1:24" ht="15" customHeight="1" x14ac:dyDescent="0.25">
      <c r="A50" s="24" t="s">
        <v>3</v>
      </c>
      <c r="B50" s="24" t="s">
        <v>60</v>
      </c>
      <c r="C50" s="24">
        <v>5</v>
      </c>
      <c r="D50" s="414">
        <v>3751</v>
      </c>
      <c r="E50" s="24">
        <v>5</v>
      </c>
      <c r="F50" s="414">
        <v>4187.5999999999995</v>
      </c>
      <c r="G50" s="24">
        <f t="shared" si="0"/>
        <v>0</v>
      </c>
      <c r="H50" s="414">
        <f t="shared" si="1"/>
        <v>436.59999999999945</v>
      </c>
      <c r="I50" s="414"/>
      <c r="J50" s="414"/>
      <c r="K50" s="24"/>
      <c r="L50" s="48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>
        <f t="shared" si="2"/>
        <v>0</v>
      </c>
    </row>
    <row r="51" spans="1:24" ht="15" customHeight="1" x14ac:dyDescent="0.25">
      <c r="A51" s="24" t="s">
        <v>339</v>
      </c>
      <c r="B51" s="24" t="s">
        <v>60</v>
      </c>
      <c r="C51" s="24">
        <v>10</v>
      </c>
      <c r="D51" s="414">
        <v>14763</v>
      </c>
      <c r="E51" s="24">
        <v>10</v>
      </c>
      <c r="F51" s="414">
        <v>15602.800000000001</v>
      </c>
      <c r="G51" s="24">
        <f t="shared" si="0"/>
        <v>0</v>
      </c>
      <c r="H51" s="414">
        <f t="shared" si="1"/>
        <v>839.80000000000109</v>
      </c>
      <c r="I51" s="414"/>
      <c r="J51" s="414"/>
      <c r="K51" s="24"/>
      <c r="L51" s="483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>
        <f t="shared" si="2"/>
        <v>0</v>
      </c>
    </row>
    <row r="52" spans="1:24" ht="15" customHeight="1" x14ac:dyDescent="0.25">
      <c r="A52" s="24" t="s">
        <v>6</v>
      </c>
      <c r="B52" s="24" t="s">
        <v>60</v>
      </c>
      <c r="C52" s="24">
        <v>7</v>
      </c>
      <c r="D52" s="414">
        <v>8459</v>
      </c>
      <c r="E52" s="24">
        <v>7</v>
      </c>
      <c r="F52" s="414">
        <v>8295.4</v>
      </c>
      <c r="G52" s="24">
        <f t="shared" si="0"/>
        <v>0</v>
      </c>
      <c r="H52" s="414">
        <f t="shared" si="1"/>
        <v>-163.60000000000036</v>
      </c>
      <c r="I52" s="414"/>
      <c r="J52" s="414"/>
      <c r="K52" s="24"/>
      <c r="L52" s="483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f t="shared" si="2"/>
        <v>0</v>
      </c>
    </row>
    <row r="53" spans="1:24" ht="15" customHeight="1" x14ac:dyDescent="0.25">
      <c r="A53" s="24" t="s">
        <v>63</v>
      </c>
      <c r="B53" s="24" t="s">
        <v>60</v>
      </c>
      <c r="C53" s="24">
        <v>8</v>
      </c>
      <c r="D53" s="414">
        <v>9975</v>
      </c>
      <c r="E53" s="24">
        <v>8</v>
      </c>
      <c r="F53" s="414">
        <v>10263.800000000001</v>
      </c>
      <c r="G53" s="24">
        <f t="shared" si="0"/>
        <v>0</v>
      </c>
      <c r="H53" s="414">
        <f t="shared" si="1"/>
        <v>288.80000000000109</v>
      </c>
      <c r="I53" s="414"/>
      <c r="J53" s="414"/>
      <c r="K53" s="24"/>
      <c r="L53" s="483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>
        <f t="shared" si="2"/>
        <v>0</v>
      </c>
    </row>
    <row r="54" spans="1:24" ht="15" customHeight="1" x14ac:dyDescent="0.25">
      <c r="A54" s="24" t="s">
        <v>220</v>
      </c>
      <c r="B54" s="24" t="s">
        <v>60</v>
      </c>
      <c r="C54" s="24">
        <v>4</v>
      </c>
      <c r="D54" s="414">
        <v>3900</v>
      </c>
      <c r="E54" s="24">
        <v>4</v>
      </c>
      <c r="F54" s="414">
        <v>3199.6000000000004</v>
      </c>
      <c r="G54" s="24">
        <f t="shared" si="0"/>
        <v>0</v>
      </c>
      <c r="H54" s="414">
        <f t="shared" si="1"/>
        <v>-700.39999999999964</v>
      </c>
      <c r="I54" s="414"/>
      <c r="J54" s="414"/>
      <c r="K54" s="24"/>
      <c r="L54" s="48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>
        <f t="shared" si="2"/>
        <v>0</v>
      </c>
    </row>
    <row r="55" spans="1:24" ht="15" customHeight="1" x14ac:dyDescent="0.25">
      <c r="A55" s="24" t="s">
        <v>4</v>
      </c>
      <c r="B55" s="24" t="s">
        <v>60</v>
      </c>
      <c r="C55" s="24">
        <v>9</v>
      </c>
      <c r="D55" s="414">
        <v>11810</v>
      </c>
      <c r="E55" s="24">
        <v>9</v>
      </c>
      <c r="F55" s="414">
        <v>12479.2</v>
      </c>
      <c r="G55" s="24">
        <f t="shared" si="0"/>
        <v>0</v>
      </c>
      <c r="H55" s="414">
        <f t="shared" si="1"/>
        <v>669.20000000000073</v>
      </c>
      <c r="I55" s="414"/>
      <c r="J55" s="414"/>
      <c r="K55" s="24"/>
      <c r="L55" s="483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f t="shared" si="2"/>
        <v>0</v>
      </c>
    </row>
    <row r="56" spans="1:24" ht="15" customHeight="1" x14ac:dyDescent="0.25">
      <c r="A56" s="24" t="s">
        <v>340</v>
      </c>
      <c r="B56" s="24" t="s">
        <v>60</v>
      </c>
      <c r="C56" s="24">
        <v>7</v>
      </c>
      <c r="D56" s="414">
        <v>6702.9999999999991</v>
      </c>
      <c r="E56" s="24">
        <v>7</v>
      </c>
      <c r="F56" s="414">
        <v>7554.4</v>
      </c>
      <c r="G56" s="24">
        <f t="shared" si="0"/>
        <v>0</v>
      </c>
      <c r="H56" s="414">
        <f t="shared" si="1"/>
        <v>851.40000000000055</v>
      </c>
      <c r="I56" s="414"/>
      <c r="J56" s="414"/>
      <c r="K56" s="24"/>
      <c r="L56" s="483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>
        <f t="shared" si="2"/>
        <v>0</v>
      </c>
    </row>
    <row r="57" spans="1:24" ht="15" customHeight="1" x14ac:dyDescent="0.25">
      <c r="A57" s="24" t="s">
        <v>242</v>
      </c>
      <c r="B57" s="24" t="s">
        <v>60</v>
      </c>
      <c r="C57" s="24">
        <v>8</v>
      </c>
      <c r="D57" s="414">
        <v>14310</v>
      </c>
      <c r="E57" s="24">
        <v>8</v>
      </c>
      <c r="F57" s="414">
        <f>14973-1365</f>
        <v>13608</v>
      </c>
      <c r="G57" s="24">
        <f t="shared" si="0"/>
        <v>0</v>
      </c>
      <c r="H57" s="414">
        <f t="shared" si="1"/>
        <v>-702</v>
      </c>
      <c r="I57" s="414"/>
      <c r="J57" s="414"/>
      <c r="K57" s="24"/>
      <c r="L57" s="48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f t="shared" si="2"/>
        <v>0</v>
      </c>
    </row>
    <row r="58" spans="1:24" ht="15" customHeight="1" x14ac:dyDescent="0.25">
      <c r="A58" s="24" t="s">
        <v>261</v>
      </c>
      <c r="B58" s="24" t="s">
        <v>60</v>
      </c>
      <c r="C58" s="24">
        <v>6</v>
      </c>
      <c r="D58" s="414">
        <v>10678.5</v>
      </c>
      <c r="E58" s="24">
        <v>6</v>
      </c>
      <c r="F58" s="414">
        <v>10989</v>
      </c>
      <c r="G58" s="24">
        <f t="shared" si="0"/>
        <v>0</v>
      </c>
      <c r="H58" s="414">
        <f t="shared" si="1"/>
        <v>310.5</v>
      </c>
      <c r="I58" s="414"/>
      <c r="J58" s="414"/>
      <c r="K58" s="24"/>
      <c r="L58" s="48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>
        <f t="shared" si="2"/>
        <v>0</v>
      </c>
    </row>
    <row r="59" spans="1:24" ht="15" customHeight="1" x14ac:dyDescent="0.25">
      <c r="A59" s="27" t="s">
        <v>219</v>
      </c>
      <c r="B59" s="24" t="s">
        <v>61</v>
      </c>
      <c r="C59" s="24">
        <v>5</v>
      </c>
      <c r="D59" s="414">
        <v>9870</v>
      </c>
      <c r="E59" s="24">
        <v>5</v>
      </c>
      <c r="F59" s="414">
        <v>10155</v>
      </c>
      <c r="G59" s="24">
        <f t="shared" si="0"/>
        <v>0</v>
      </c>
      <c r="H59" s="414">
        <f t="shared" si="1"/>
        <v>285</v>
      </c>
      <c r="I59" s="414"/>
      <c r="J59" s="414"/>
      <c r="K59" s="24"/>
      <c r="L59" s="483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>
        <f t="shared" si="2"/>
        <v>0</v>
      </c>
    </row>
    <row r="60" spans="1:24" ht="15" customHeight="1" x14ac:dyDescent="0.25">
      <c r="A60" s="24" t="s">
        <v>173</v>
      </c>
      <c r="B60" s="24" t="s">
        <v>100</v>
      </c>
      <c r="C60" s="24">
        <v>5</v>
      </c>
      <c r="D60" s="414">
        <v>8500</v>
      </c>
      <c r="E60" s="24">
        <v>5</v>
      </c>
      <c r="F60" s="414">
        <v>7975</v>
      </c>
      <c r="G60" s="24">
        <f t="shared" si="0"/>
        <v>0</v>
      </c>
      <c r="H60" s="414">
        <f t="shared" si="1"/>
        <v>-525</v>
      </c>
      <c r="I60" s="414"/>
      <c r="J60" s="414"/>
      <c r="K60" s="24"/>
      <c r="L60" s="483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>
        <f t="shared" si="2"/>
        <v>0</v>
      </c>
    </row>
    <row r="61" spans="1:24" ht="15" customHeight="1" x14ac:dyDescent="0.25">
      <c r="A61" s="27" t="s">
        <v>351</v>
      </c>
      <c r="B61" s="24" t="s">
        <v>115</v>
      </c>
      <c r="C61" s="24">
        <v>8</v>
      </c>
      <c r="D61" s="414">
        <v>10301</v>
      </c>
      <c r="E61" s="24">
        <v>8</v>
      </c>
      <c r="F61" s="414">
        <v>12154.5</v>
      </c>
      <c r="G61" s="24">
        <f t="shared" si="0"/>
        <v>0</v>
      </c>
      <c r="H61" s="414">
        <f t="shared" si="1"/>
        <v>1853.5</v>
      </c>
      <c r="I61" s="414"/>
      <c r="J61" s="414"/>
      <c r="K61" s="24"/>
      <c r="L61" s="483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>
        <f t="shared" si="2"/>
        <v>0</v>
      </c>
    </row>
    <row r="62" spans="1:24" ht="15" customHeight="1" x14ac:dyDescent="0.25">
      <c r="A62" s="27" t="s">
        <v>297</v>
      </c>
      <c r="B62" s="24" t="s">
        <v>60</v>
      </c>
      <c r="C62" s="24">
        <v>8</v>
      </c>
      <c r="D62" s="414">
        <v>15471</v>
      </c>
      <c r="E62" s="24">
        <v>8</v>
      </c>
      <c r="F62" s="414">
        <v>16555</v>
      </c>
      <c r="G62" s="24">
        <f t="shared" si="0"/>
        <v>0</v>
      </c>
      <c r="H62" s="414">
        <f t="shared" si="1"/>
        <v>1084</v>
      </c>
      <c r="I62" s="414"/>
      <c r="J62" s="414"/>
      <c r="K62" s="24"/>
      <c r="L62" s="483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f t="shared" si="2"/>
        <v>0</v>
      </c>
    </row>
    <row r="63" spans="1:24" ht="15" customHeight="1" x14ac:dyDescent="0.25">
      <c r="A63" s="24" t="s">
        <v>181</v>
      </c>
      <c r="B63" s="24" t="s">
        <v>61</v>
      </c>
      <c r="C63" s="24">
        <v>6</v>
      </c>
      <c r="D63" s="414">
        <v>9300</v>
      </c>
      <c r="E63" s="24">
        <v>6</v>
      </c>
      <c r="F63" s="414">
        <v>9570</v>
      </c>
      <c r="G63" s="24">
        <f t="shared" si="0"/>
        <v>0</v>
      </c>
      <c r="H63" s="414">
        <f t="shared" si="1"/>
        <v>270</v>
      </c>
      <c r="I63" s="414"/>
      <c r="J63" s="414"/>
      <c r="K63" s="24"/>
      <c r="L63" s="483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f t="shared" si="2"/>
        <v>0</v>
      </c>
    </row>
    <row r="64" spans="1:24" ht="15" customHeight="1" x14ac:dyDescent="0.25">
      <c r="A64" s="27" t="s">
        <v>217</v>
      </c>
      <c r="B64" s="24" t="s">
        <v>60</v>
      </c>
      <c r="C64" s="24">
        <v>1</v>
      </c>
      <c r="D64" s="414">
        <v>1550</v>
      </c>
      <c r="E64" s="24">
        <v>1</v>
      </c>
      <c r="F64" s="414">
        <v>1595</v>
      </c>
      <c r="G64" s="24">
        <f t="shared" si="0"/>
        <v>0</v>
      </c>
      <c r="H64" s="414">
        <f t="shared" si="1"/>
        <v>45</v>
      </c>
      <c r="I64" s="414"/>
      <c r="J64" s="414"/>
      <c r="K64" s="24"/>
      <c r="L64" s="483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f t="shared" si="2"/>
        <v>0</v>
      </c>
    </row>
    <row r="65" spans="1:24" ht="15" customHeight="1" x14ac:dyDescent="0.25">
      <c r="A65" s="24" t="s">
        <v>17</v>
      </c>
      <c r="B65" s="24" t="s">
        <v>61</v>
      </c>
      <c r="C65" s="24">
        <v>7</v>
      </c>
      <c r="D65" s="414">
        <v>9765</v>
      </c>
      <c r="E65" s="24">
        <v>7</v>
      </c>
      <c r="F65" s="414">
        <v>10850</v>
      </c>
      <c r="G65" s="24">
        <f t="shared" si="0"/>
        <v>0</v>
      </c>
      <c r="H65" s="414">
        <f t="shared" si="1"/>
        <v>1085</v>
      </c>
      <c r="I65" s="414"/>
      <c r="J65" s="414"/>
      <c r="K65" s="24"/>
      <c r="L65" s="483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>
        <f t="shared" si="2"/>
        <v>0</v>
      </c>
    </row>
    <row r="66" spans="1:24" ht="15" customHeight="1" x14ac:dyDescent="0.25">
      <c r="A66" s="24" t="s">
        <v>318</v>
      </c>
      <c r="B66" s="24" t="s">
        <v>61</v>
      </c>
      <c r="C66" s="24">
        <v>7</v>
      </c>
      <c r="D66" s="414">
        <v>12380</v>
      </c>
      <c r="E66" s="24">
        <v>7</v>
      </c>
      <c r="F66" s="414">
        <v>12739.5</v>
      </c>
      <c r="G66" s="24">
        <f t="shared" si="0"/>
        <v>0</v>
      </c>
      <c r="H66" s="414">
        <f t="shared" si="1"/>
        <v>359.5</v>
      </c>
      <c r="I66" s="414"/>
      <c r="J66" s="414"/>
      <c r="K66" s="24"/>
      <c r="L66" s="483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>
        <f t="shared" si="2"/>
        <v>0</v>
      </c>
    </row>
    <row r="67" spans="1:24" ht="15" customHeight="1" x14ac:dyDescent="0.25">
      <c r="A67" s="24" t="s">
        <v>303</v>
      </c>
      <c r="B67" s="24" t="s">
        <v>115</v>
      </c>
      <c r="C67" s="24">
        <v>10</v>
      </c>
      <c r="D67" s="414">
        <v>19373</v>
      </c>
      <c r="E67" s="24">
        <v>10</v>
      </c>
      <c r="F67" s="414">
        <v>19449</v>
      </c>
      <c r="G67" s="24">
        <f t="shared" si="0"/>
        <v>0</v>
      </c>
      <c r="H67" s="414">
        <f t="shared" si="1"/>
        <v>76</v>
      </c>
      <c r="I67" s="414"/>
      <c r="J67" s="414"/>
      <c r="K67" s="24"/>
      <c r="L67" s="483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>
        <f t="shared" si="2"/>
        <v>0</v>
      </c>
    </row>
    <row r="68" spans="1:24" ht="15" customHeight="1" x14ac:dyDescent="0.25">
      <c r="A68" s="443" t="s">
        <v>1221</v>
      </c>
      <c r="B68" s="444"/>
      <c r="C68" s="445">
        <f t="shared" ref="C68:X68" si="3">SUM(C5:C67)</f>
        <v>321</v>
      </c>
      <c r="D68" s="446">
        <f t="shared" si="3"/>
        <v>435566.5</v>
      </c>
      <c r="E68" s="447">
        <f t="shared" si="3"/>
        <v>319</v>
      </c>
      <c r="F68" s="446">
        <f t="shared" si="3"/>
        <v>441144.00000000006</v>
      </c>
      <c r="G68" s="447">
        <f t="shared" si="3"/>
        <v>-2</v>
      </c>
      <c r="H68" s="448">
        <f t="shared" si="3"/>
        <v>5577.5000000000036</v>
      </c>
      <c r="I68" s="448">
        <f t="shared" si="3"/>
        <v>0</v>
      </c>
      <c r="J68" s="448">
        <f t="shared" si="3"/>
        <v>0</v>
      </c>
      <c r="K68" s="447">
        <f t="shared" si="3"/>
        <v>0</v>
      </c>
      <c r="L68" s="447">
        <f t="shared" ref="L68" si="4">SUM(L5:L67)</f>
        <v>0</v>
      </c>
      <c r="M68" s="447">
        <f t="shared" si="3"/>
        <v>0</v>
      </c>
      <c r="N68" s="447">
        <f t="shared" si="3"/>
        <v>1</v>
      </c>
      <c r="O68" s="447">
        <f t="shared" si="3"/>
        <v>0</v>
      </c>
      <c r="P68" s="447">
        <f t="shared" si="3"/>
        <v>0</v>
      </c>
      <c r="Q68" s="447">
        <f t="shared" si="3"/>
        <v>0</v>
      </c>
      <c r="R68" s="447">
        <f t="shared" si="3"/>
        <v>-1</v>
      </c>
      <c r="S68" s="447">
        <f t="shared" si="3"/>
        <v>0</v>
      </c>
      <c r="T68" s="447">
        <f t="shared" si="3"/>
        <v>0</v>
      </c>
      <c r="U68" s="447">
        <f t="shared" si="3"/>
        <v>0</v>
      </c>
      <c r="V68" s="447">
        <f t="shared" si="3"/>
        <v>0</v>
      </c>
      <c r="W68" s="447">
        <f t="shared" si="3"/>
        <v>0</v>
      </c>
      <c r="X68" s="447">
        <f t="shared" si="3"/>
        <v>0</v>
      </c>
    </row>
    <row r="70" spans="1:24" x14ac:dyDescent="0.25">
      <c r="A70" s="739" t="s">
        <v>1227</v>
      </c>
      <c r="B70" s="739"/>
    </row>
    <row r="71" spans="1:24" ht="30" x14ac:dyDescent="0.25">
      <c r="A71" s="423" t="s">
        <v>1</v>
      </c>
      <c r="B71" s="423"/>
      <c r="C71" s="425" t="s">
        <v>1222</v>
      </c>
      <c r="D71" s="425" t="s">
        <v>1223</v>
      </c>
      <c r="E71" s="425" t="s">
        <v>392</v>
      </c>
      <c r="F71" s="426" t="s">
        <v>2</v>
      </c>
      <c r="G71" s="432" t="s">
        <v>1225</v>
      </c>
      <c r="H71" s="427" t="s">
        <v>1224</v>
      </c>
      <c r="I71" s="427" t="s">
        <v>1498</v>
      </c>
      <c r="J71" s="427" t="s">
        <v>94</v>
      </c>
      <c r="K71" s="424" t="s">
        <v>681</v>
      </c>
      <c r="L71" s="424" t="s">
        <v>1496</v>
      </c>
      <c r="M71" s="424" t="s">
        <v>1497</v>
      </c>
      <c r="N71" s="424" t="s">
        <v>682</v>
      </c>
      <c r="O71" s="424" t="s">
        <v>683</v>
      </c>
      <c r="P71" s="424" t="s">
        <v>87</v>
      </c>
      <c r="Q71" s="424" t="s">
        <v>684</v>
      </c>
      <c r="R71" s="424" t="s">
        <v>685</v>
      </c>
      <c r="S71" s="424" t="s">
        <v>690</v>
      </c>
      <c r="T71" s="424" t="s">
        <v>686</v>
      </c>
      <c r="U71" s="424" t="s">
        <v>687</v>
      </c>
      <c r="V71" s="424" t="s">
        <v>688</v>
      </c>
      <c r="W71" s="424" t="s">
        <v>689</v>
      </c>
      <c r="X71" s="424" t="s">
        <v>1238</v>
      </c>
    </row>
    <row r="72" spans="1:24" s="457" customFormat="1" ht="15" customHeight="1" x14ac:dyDescent="0.25">
      <c r="A72" s="451" t="s">
        <v>652</v>
      </c>
      <c r="B72" s="452" t="s">
        <v>60</v>
      </c>
      <c r="C72" s="453">
        <v>41862</v>
      </c>
      <c r="D72" s="454">
        <v>42020</v>
      </c>
      <c r="E72" s="455">
        <f>D72-C72</f>
        <v>158</v>
      </c>
      <c r="F72" s="454">
        <v>41654</v>
      </c>
      <c r="G72" s="455">
        <v>3</v>
      </c>
      <c r="H72" s="456">
        <v>4650</v>
      </c>
      <c r="I72" s="456"/>
      <c r="J72" s="456"/>
      <c r="K72" s="452">
        <v>1</v>
      </c>
      <c r="L72" s="452"/>
      <c r="M72" s="452"/>
      <c r="N72" s="452"/>
      <c r="O72" s="452"/>
      <c r="P72" s="452">
        <v>1</v>
      </c>
      <c r="Q72" s="452">
        <v>1</v>
      </c>
      <c r="R72" s="452"/>
      <c r="S72" s="452"/>
      <c r="T72" s="452"/>
      <c r="U72" s="452"/>
      <c r="V72" s="452"/>
      <c r="W72" s="452"/>
      <c r="X72" s="452">
        <f t="shared" ref="X72:X73" si="5">SUM(K72:W72)</f>
        <v>3</v>
      </c>
    </row>
    <row r="73" spans="1:24" s="457" customFormat="1" ht="15" customHeight="1" x14ac:dyDescent="0.25">
      <c r="A73" s="451" t="s">
        <v>1013</v>
      </c>
      <c r="B73" s="452" t="s">
        <v>60</v>
      </c>
      <c r="C73" s="453">
        <v>41792</v>
      </c>
      <c r="D73" s="454">
        <v>42027</v>
      </c>
      <c r="E73" s="455">
        <f>D73-C73</f>
        <v>235</v>
      </c>
      <c r="F73" s="454">
        <v>42027</v>
      </c>
      <c r="G73" s="455">
        <v>3</v>
      </c>
      <c r="H73" s="456">
        <f>5900+2200</f>
        <v>8100</v>
      </c>
      <c r="I73" s="456"/>
      <c r="J73" s="456"/>
      <c r="K73" s="452">
        <v>1</v>
      </c>
      <c r="L73" s="452">
        <v>1</v>
      </c>
      <c r="M73" s="452">
        <v>1</v>
      </c>
      <c r="N73" s="452"/>
      <c r="O73" s="452"/>
      <c r="P73" s="452"/>
      <c r="Q73" s="452">
        <v>1</v>
      </c>
      <c r="R73" s="452"/>
      <c r="S73" s="452"/>
      <c r="T73" s="452"/>
      <c r="U73" s="452"/>
      <c r="V73" s="452"/>
      <c r="W73" s="452"/>
      <c r="X73" s="452">
        <f t="shared" si="5"/>
        <v>4</v>
      </c>
    </row>
    <row r="74" spans="1:24" ht="15" customHeight="1" x14ac:dyDescent="0.25">
      <c r="A74" s="443" t="s">
        <v>1226</v>
      </c>
      <c r="B74" s="444"/>
      <c r="C74" s="445"/>
      <c r="D74" s="446"/>
      <c r="E74" s="447"/>
      <c r="F74" s="446"/>
      <c r="G74" s="447">
        <f>SUM(G72:G73)</f>
        <v>6</v>
      </c>
      <c r="H74" s="448">
        <f>SUM(H72:H73)</f>
        <v>12750</v>
      </c>
      <c r="I74" s="448">
        <f t="shared" ref="I74:J74" si="6">SUM(I72:I73)</f>
        <v>0</v>
      </c>
      <c r="J74" s="448">
        <f t="shared" si="6"/>
        <v>0</v>
      </c>
      <c r="K74" s="447">
        <f t="shared" ref="K74:X74" si="7">SUM(K72:K73)</f>
        <v>2</v>
      </c>
      <c r="L74" s="447">
        <f t="shared" ref="L74" si="8">SUM(L72:L73)</f>
        <v>1</v>
      </c>
      <c r="M74" s="447">
        <f t="shared" si="7"/>
        <v>1</v>
      </c>
      <c r="N74" s="447">
        <f t="shared" si="7"/>
        <v>0</v>
      </c>
      <c r="O74" s="447">
        <f t="shared" si="7"/>
        <v>0</v>
      </c>
      <c r="P74" s="447">
        <f t="shared" si="7"/>
        <v>1</v>
      </c>
      <c r="Q74" s="447">
        <f t="shared" si="7"/>
        <v>2</v>
      </c>
      <c r="R74" s="447">
        <f t="shared" si="7"/>
        <v>0</v>
      </c>
      <c r="S74" s="447">
        <f t="shared" si="7"/>
        <v>0</v>
      </c>
      <c r="T74" s="447">
        <f t="shared" si="7"/>
        <v>0</v>
      </c>
      <c r="U74" s="447">
        <f t="shared" si="7"/>
        <v>0</v>
      </c>
      <c r="V74" s="447">
        <f t="shared" si="7"/>
        <v>0</v>
      </c>
      <c r="W74" s="447">
        <f t="shared" si="7"/>
        <v>0</v>
      </c>
      <c r="X74" s="447">
        <f t="shared" si="7"/>
        <v>7</v>
      </c>
    </row>
    <row r="75" spans="1:24" ht="15" customHeight="1" x14ac:dyDescent="0.25">
      <c r="A75" s="428"/>
      <c r="B75" s="422"/>
      <c r="C75" s="422"/>
      <c r="D75" s="429"/>
      <c r="E75" s="422"/>
      <c r="F75" s="429"/>
      <c r="G75" s="433"/>
      <c r="H75" s="422"/>
      <c r="I75" s="422"/>
      <c r="J75" s="422"/>
    </row>
    <row r="76" spans="1:24" x14ac:dyDescent="0.25">
      <c r="A76" s="739" t="s">
        <v>1228</v>
      </c>
      <c r="B76" s="739"/>
      <c r="G76" s="420"/>
    </row>
    <row r="77" spans="1:24" ht="30" x14ac:dyDescent="0.25">
      <c r="A77" s="423" t="s">
        <v>1</v>
      </c>
      <c r="B77" s="449" t="s">
        <v>59</v>
      </c>
      <c r="C77" s="425" t="s">
        <v>1222</v>
      </c>
      <c r="D77" s="425" t="s">
        <v>1223</v>
      </c>
      <c r="E77" s="425" t="s">
        <v>392</v>
      </c>
      <c r="F77" s="426" t="s">
        <v>2</v>
      </c>
      <c r="G77" s="432" t="s">
        <v>1225</v>
      </c>
      <c r="H77" s="427" t="s">
        <v>1224</v>
      </c>
      <c r="I77" s="427" t="s">
        <v>1498</v>
      </c>
      <c r="J77" s="427" t="s">
        <v>94</v>
      </c>
      <c r="K77" s="424" t="s">
        <v>681</v>
      </c>
      <c r="L77" s="424" t="s">
        <v>1496</v>
      </c>
      <c r="M77" s="424" t="s">
        <v>1497</v>
      </c>
      <c r="N77" s="424" t="s">
        <v>682</v>
      </c>
      <c r="O77" s="424" t="s">
        <v>683</v>
      </c>
      <c r="P77" s="424" t="s">
        <v>87</v>
      </c>
      <c r="Q77" s="424" t="s">
        <v>684</v>
      </c>
      <c r="R77" s="424" t="s">
        <v>685</v>
      </c>
      <c r="S77" s="424" t="s">
        <v>690</v>
      </c>
      <c r="T77" s="424" t="s">
        <v>686</v>
      </c>
      <c r="U77" s="424" t="s">
        <v>687</v>
      </c>
      <c r="V77" s="424" t="s">
        <v>688</v>
      </c>
      <c r="W77" s="424" t="s">
        <v>689</v>
      </c>
      <c r="X77" s="424" t="s">
        <v>1238</v>
      </c>
    </row>
    <row r="78" spans="1:24" s="457" customFormat="1" ht="15" customHeight="1" x14ac:dyDescent="0.25">
      <c r="A78" s="451" t="s">
        <v>1233</v>
      </c>
      <c r="B78" s="452" t="s">
        <v>115</v>
      </c>
      <c r="C78" s="453">
        <v>41918</v>
      </c>
      <c r="D78" s="454">
        <v>42005</v>
      </c>
      <c r="E78" s="455">
        <f t="shared" ref="E78:E85" si="9">D78-C78</f>
        <v>87</v>
      </c>
      <c r="F78" s="454">
        <v>42005</v>
      </c>
      <c r="G78" s="455">
        <v>2</v>
      </c>
      <c r="H78" s="456">
        <f>2415+840</f>
        <v>3255</v>
      </c>
      <c r="I78" s="456"/>
      <c r="J78" s="456"/>
      <c r="K78" s="452"/>
      <c r="L78" s="452"/>
      <c r="M78" s="452"/>
      <c r="N78" s="452">
        <v>1</v>
      </c>
      <c r="O78" s="452">
        <v>1</v>
      </c>
      <c r="P78" s="452"/>
      <c r="Q78" s="452"/>
      <c r="R78" s="452"/>
      <c r="S78" s="452"/>
      <c r="T78" s="452"/>
      <c r="U78" s="452"/>
      <c r="V78" s="452"/>
      <c r="W78" s="452"/>
      <c r="X78" s="452">
        <f t="shared" ref="X78:X86" si="10">SUM(K78:W78)</f>
        <v>2</v>
      </c>
    </row>
    <row r="79" spans="1:24" s="457" customFormat="1" ht="15" customHeight="1" x14ac:dyDescent="0.25">
      <c r="A79" s="451" t="s">
        <v>653</v>
      </c>
      <c r="B79" s="452" t="s">
        <v>60</v>
      </c>
      <c r="C79" s="453">
        <v>41922</v>
      </c>
      <c r="D79" s="454">
        <v>42040</v>
      </c>
      <c r="E79" s="455">
        <f t="shared" si="9"/>
        <v>118</v>
      </c>
      <c r="F79" s="454">
        <v>42034</v>
      </c>
      <c r="G79" s="455">
        <v>1</v>
      </c>
      <c r="H79" s="456">
        <v>1550</v>
      </c>
      <c r="I79" s="456"/>
      <c r="J79" s="456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>
        <v>1</v>
      </c>
      <c r="X79" s="452">
        <f t="shared" si="10"/>
        <v>1</v>
      </c>
    </row>
    <row r="80" spans="1:24" s="457" customFormat="1" ht="15" customHeight="1" x14ac:dyDescent="0.25">
      <c r="A80" s="451" t="s">
        <v>1193</v>
      </c>
      <c r="B80" s="452" t="s">
        <v>115</v>
      </c>
      <c r="C80" s="453">
        <v>41964</v>
      </c>
      <c r="D80" s="454">
        <v>42018</v>
      </c>
      <c r="E80" s="455">
        <f t="shared" si="9"/>
        <v>54</v>
      </c>
      <c r="F80" s="454">
        <v>42005</v>
      </c>
      <c r="G80" s="455">
        <v>1</v>
      </c>
      <c r="H80" s="456">
        <v>840</v>
      </c>
      <c r="I80" s="456"/>
      <c r="J80" s="456"/>
      <c r="K80" s="452"/>
      <c r="L80" s="452"/>
      <c r="M80" s="452"/>
      <c r="N80" s="452">
        <v>1</v>
      </c>
      <c r="O80" s="452"/>
      <c r="P80" s="452"/>
      <c r="Q80" s="452"/>
      <c r="R80" s="452"/>
      <c r="S80" s="452"/>
      <c r="T80" s="452"/>
      <c r="U80" s="452"/>
      <c r="V80" s="452"/>
      <c r="W80" s="452"/>
      <c r="X80" s="452">
        <f t="shared" si="10"/>
        <v>1</v>
      </c>
    </row>
    <row r="81" spans="1:24" s="457" customFormat="1" ht="15" customHeight="1" x14ac:dyDescent="0.25">
      <c r="A81" s="451" t="s">
        <v>1165</v>
      </c>
      <c r="B81" s="452" t="s">
        <v>115</v>
      </c>
      <c r="C81" s="453">
        <v>41927</v>
      </c>
      <c r="D81" s="454">
        <v>41976</v>
      </c>
      <c r="E81" s="455">
        <f t="shared" si="9"/>
        <v>49</v>
      </c>
      <c r="F81" s="454">
        <v>42005</v>
      </c>
      <c r="G81" s="455">
        <v>1</v>
      </c>
      <c r="H81" s="456">
        <v>2173</v>
      </c>
      <c r="I81" s="456"/>
      <c r="J81" s="456"/>
      <c r="K81" s="452"/>
      <c r="L81" s="452"/>
      <c r="M81" s="452"/>
      <c r="N81" s="452"/>
      <c r="O81" s="452"/>
      <c r="P81" s="452"/>
      <c r="Q81" s="452"/>
      <c r="R81" s="452">
        <v>1</v>
      </c>
      <c r="S81" s="452"/>
      <c r="T81" s="452"/>
      <c r="U81" s="452"/>
      <c r="V81" s="452"/>
      <c r="W81" s="452"/>
      <c r="X81" s="452">
        <f t="shared" si="10"/>
        <v>1</v>
      </c>
    </row>
    <row r="82" spans="1:24" s="457" customFormat="1" ht="15" customHeight="1" x14ac:dyDescent="0.25">
      <c r="A82" s="451" t="s">
        <v>54</v>
      </c>
      <c r="B82" s="452" t="s">
        <v>115</v>
      </c>
      <c r="C82" s="453">
        <v>41988</v>
      </c>
      <c r="D82" s="454">
        <v>41992</v>
      </c>
      <c r="E82" s="455">
        <f t="shared" si="9"/>
        <v>4</v>
      </c>
      <c r="F82" s="454">
        <v>42005</v>
      </c>
      <c r="G82" s="455">
        <v>1</v>
      </c>
      <c r="H82" s="456">
        <v>1931.5</v>
      </c>
      <c r="I82" s="456"/>
      <c r="J82" s="456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>
        <v>1</v>
      </c>
      <c r="W82" s="452"/>
      <c r="X82" s="452">
        <f t="shared" si="10"/>
        <v>1</v>
      </c>
    </row>
    <row r="83" spans="1:24" s="457" customFormat="1" ht="15" customHeight="1" x14ac:dyDescent="0.25">
      <c r="A83" s="451" t="s">
        <v>1196</v>
      </c>
      <c r="B83" s="452" t="s">
        <v>115</v>
      </c>
      <c r="C83" s="453">
        <v>41955</v>
      </c>
      <c r="D83" s="454">
        <v>41996</v>
      </c>
      <c r="E83" s="455">
        <f t="shared" si="9"/>
        <v>41</v>
      </c>
      <c r="F83" s="454">
        <v>41640</v>
      </c>
      <c r="G83" s="455">
        <v>1</v>
      </c>
      <c r="H83" s="456">
        <v>1840</v>
      </c>
      <c r="I83" s="456"/>
      <c r="J83" s="456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>
        <v>1</v>
      </c>
      <c r="W83" s="452"/>
      <c r="X83" s="452">
        <f t="shared" si="10"/>
        <v>1</v>
      </c>
    </row>
    <row r="84" spans="1:24" s="457" customFormat="1" ht="15" customHeight="1" x14ac:dyDescent="0.25">
      <c r="A84" s="451" t="s">
        <v>1146</v>
      </c>
      <c r="B84" s="452" t="s">
        <v>115</v>
      </c>
      <c r="C84" s="453">
        <v>41983</v>
      </c>
      <c r="D84" s="454">
        <v>41990</v>
      </c>
      <c r="E84" s="455">
        <f t="shared" si="9"/>
        <v>7</v>
      </c>
      <c r="F84" s="454">
        <v>42005</v>
      </c>
      <c r="G84" s="455">
        <v>1</v>
      </c>
      <c r="H84" s="456">
        <v>1365</v>
      </c>
      <c r="I84" s="456"/>
      <c r="J84" s="456"/>
      <c r="K84" s="452"/>
      <c r="L84" s="452"/>
      <c r="M84" s="452"/>
      <c r="N84" s="452"/>
      <c r="O84" s="452"/>
      <c r="P84" s="452"/>
      <c r="Q84" s="452"/>
      <c r="R84" s="452">
        <v>1</v>
      </c>
      <c r="S84" s="452"/>
      <c r="T84" s="452"/>
      <c r="U84" s="452"/>
      <c r="V84" s="452"/>
      <c r="W84" s="452"/>
      <c r="X84" s="452">
        <f t="shared" si="10"/>
        <v>1</v>
      </c>
    </row>
    <row r="85" spans="1:24" s="457" customFormat="1" ht="15" customHeight="1" x14ac:dyDescent="0.25">
      <c r="A85" s="451" t="s">
        <v>519</v>
      </c>
      <c r="B85" s="452" t="s">
        <v>115</v>
      </c>
      <c r="C85" s="453">
        <v>41981</v>
      </c>
      <c r="D85" s="454">
        <v>42013</v>
      </c>
      <c r="E85" s="455">
        <f t="shared" si="9"/>
        <v>32</v>
      </c>
      <c r="F85" s="454">
        <v>42013</v>
      </c>
      <c r="G85" s="455">
        <v>1</v>
      </c>
      <c r="H85" s="456">
        <v>1365</v>
      </c>
      <c r="I85" s="456"/>
      <c r="J85" s="456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>
        <v>1</v>
      </c>
      <c r="W85" s="452"/>
      <c r="X85" s="452">
        <f t="shared" si="10"/>
        <v>1</v>
      </c>
    </row>
    <row r="86" spans="1:24" s="457" customFormat="1" ht="15" customHeight="1" x14ac:dyDescent="0.25">
      <c r="A86" s="451" t="s">
        <v>1198</v>
      </c>
      <c r="B86" s="452" t="s">
        <v>115</v>
      </c>
      <c r="C86" s="453"/>
      <c r="D86" s="454">
        <v>42030</v>
      </c>
      <c r="E86" s="455"/>
      <c r="F86" s="454">
        <v>42005</v>
      </c>
      <c r="G86" s="455">
        <v>1</v>
      </c>
      <c r="H86" s="456">
        <v>756</v>
      </c>
      <c r="I86" s="456"/>
      <c r="J86" s="456"/>
      <c r="K86" s="452"/>
      <c r="L86" s="452"/>
      <c r="M86" s="452"/>
      <c r="N86" s="452"/>
      <c r="O86" s="452"/>
      <c r="P86" s="452"/>
      <c r="Q86" s="452"/>
      <c r="R86" s="452">
        <v>1</v>
      </c>
      <c r="S86" s="452"/>
      <c r="T86" s="452"/>
      <c r="U86" s="452"/>
      <c r="V86" s="452"/>
      <c r="W86" s="452"/>
      <c r="X86" s="452">
        <f t="shared" si="10"/>
        <v>1</v>
      </c>
    </row>
    <row r="87" spans="1:24" ht="15" customHeight="1" x14ac:dyDescent="0.25">
      <c r="A87" s="443" t="s">
        <v>450</v>
      </c>
      <c r="B87" s="444"/>
      <c r="C87" s="445"/>
      <c r="D87" s="446"/>
      <c r="E87" s="447"/>
      <c r="F87" s="446"/>
      <c r="G87" s="447">
        <f>SUM(G78:G86)</f>
        <v>10</v>
      </c>
      <c r="H87" s="448">
        <f>SUM(H78:H86)</f>
        <v>15075.5</v>
      </c>
      <c r="I87" s="448">
        <f t="shared" ref="I87:J87" si="11">SUM(I78:I86)</f>
        <v>0</v>
      </c>
      <c r="J87" s="448">
        <f t="shared" si="11"/>
        <v>0</v>
      </c>
      <c r="K87" s="447">
        <f t="shared" ref="K87:X87" si="12">SUM(K78:K86)</f>
        <v>0</v>
      </c>
      <c r="L87" s="447">
        <f t="shared" ref="L87" si="13">SUM(L78:L86)</f>
        <v>0</v>
      </c>
      <c r="M87" s="447">
        <f t="shared" si="12"/>
        <v>0</v>
      </c>
      <c r="N87" s="447">
        <f t="shared" si="12"/>
        <v>2</v>
      </c>
      <c r="O87" s="447">
        <f t="shared" si="12"/>
        <v>1</v>
      </c>
      <c r="P87" s="447">
        <f t="shared" si="12"/>
        <v>0</v>
      </c>
      <c r="Q87" s="447">
        <f t="shared" si="12"/>
        <v>0</v>
      </c>
      <c r="R87" s="447">
        <f t="shared" si="12"/>
        <v>3</v>
      </c>
      <c r="S87" s="447">
        <f t="shared" si="12"/>
        <v>0</v>
      </c>
      <c r="T87" s="447">
        <f t="shared" si="12"/>
        <v>0</v>
      </c>
      <c r="U87" s="447">
        <f t="shared" si="12"/>
        <v>0</v>
      </c>
      <c r="V87" s="447">
        <f t="shared" si="12"/>
        <v>3</v>
      </c>
      <c r="W87" s="447">
        <f t="shared" si="12"/>
        <v>1</v>
      </c>
      <c r="X87" s="447">
        <f t="shared" si="12"/>
        <v>10</v>
      </c>
    </row>
    <row r="89" spans="1:24" x14ac:dyDescent="0.25">
      <c r="A89" s="739" t="s">
        <v>1229</v>
      </c>
      <c r="B89" s="739"/>
    </row>
    <row r="90" spans="1:24" ht="30" x14ac:dyDescent="0.25">
      <c r="A90" s="423" t="s">
        <v>1</v>
      </c>
      <c r="B90" s="449" t="s">
        <v>59</v>
      </c>
      <c r="C90" s="425"/>
      <c r="D90" s="425"/>
      <c r="E90" s="425"/>
      <c r="F90" s="426"/>
      <c r="G90" s="432" t="s">
        <v>1225</v>
      </c>
      <c r="H90" s="427" t="s">
        <v>1224</v>
      </c>
      <c r="I90" s="427" t="s">
        <v>1498</v>
      </c>
      <c r="J90" s="427" t="s">
        <v>94</v>
      </c>
      <c r="K90" s="424" t="s">
        <v>681</v>
      </c>
      <c r="L90" s="424" t="s">
        <v>1496</v>
      </c>
      <c r="M90" s="424" t="s">
        <v>1497</v>
      </c>
      <c r="N90" s="424" t="s">
        <v>682</v>
      </c>
      <c r="O90" s="424" t="s">
        <v>683</v>
      </c>
      <c r="P90" s="424" t="s">
        <v>87</v>
      </c>
      <c r="Q90" s="424" t="s">
        <v>684</v>
      </c>
      <c r="R90" s="424" t="s">
        <v>685</v>
      </c>
      <c r="S90" s="424" t="s">
        <v>690</v>
      </c>
      <c r="T90" s="424" t="s">
        <v>686</v>
      </c>
      <c r="U90" s="424" t="s">
        <v>687</v>
      </c>
      <c r="V90" s="424" t="s">
        <v>688</v>
      </c>
      <c r="W90" s="424" t="s">
        <v>689</v>
      </c>
      <c r="X90" s="424" t="s">
        <v>1238</v>
      </c>
    </row>
    <row r="91" spans="1:24" s="457" customFormat="1" ht="15" customHeight="1" x14ac:dyDescent="0.25">
      <c r="A91" s="451" t="s">
        <v>913</v>
      </c>
      <c r="B91" s="452"/>
      <c r="C91" s="453"/>
      <c r="D91" s="454"/>
      <c r="E91" s="455"/>
      <c r="F91" s="454"/>
      <c r="G91" s="455">
        <v>-1</v>
      </c>
      <c r="H91" s="456">
        <v>-924</v>
      </c>
      <c r="I91" s="456"/>
      <c r="J91" s="456"/>
      <c r="K91" s="452"/>
      <c r="L91" s="452"/>
      <c r="M91" s="452"/>
      <c r="N91" s="452"/>
      <c r="O91" s="452"/>
      <c r="P91" s="452"/>
      <c r="Q91" s="452"/>
      <c r="R91" s="452"/>
      <c r="S91" s="452">
        <v>-1</v>
      </c>
      <c r="T91" s="452"/>
      <c r="U91" s="452"/>
      <c r="V91" s="452"/>
      <c r="W91" s="452"/>
      <c r="X91" s="452">
        <f t="shared" ref="X91:X93" si="14">SUM(K91:W91)</f>
        <v>-1</v>
      </c>
    </row>
    <row r="92" spans="1:24" ht="15" customHeight="1" x14ac:dyDescent="0.25">
      <c r="A92" s="27"/>
      <c r="B92" s="24"/>
      <c r="C92" s="430"/>
      <c r="D92" s="431"/>
      <c r="E92" s="421"/>
      <c r="F92" s="431"/>
      <c r="G92" s="421"/>
      <c r="H92" s="28"/>
      <c r="I92" s="485"/>
      <c r="J92" s="485"/>
      <c r="K92" s="24"/>
      <c r="L92" s="483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>
        <f t="shared" si="14"/>
        <v>0</v>
      </c>
    </row>
    <row r="93" spans="1:24" ht="15" customHeight="1" x14ac:dyDescent="0.25">
      <c r="A93" s="27"/>
      <c r="B93" s="24"/>
      <c r="C93" s="430"/>
      <c r="D93" s="431"/>
      <c r="E93" s="421"/>
      <c r="F93" s="431"/>
      <c r="G93" s="421"/>
      <c r="H93" s="28"/>
      <c r="I93" s="485"/>
      <c r="J93" s="485"/>
      <c r="K93" s="24"/>
      <c r="L93" s="483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>
        <f t="shared" si="14"/>
        <v>0</v>
      </c>
    </row>
    <row r="94" spans="1:24" ht="15" customHeight="1" x14ac:dyDescent="0.25">
      <c r="A94" s="443" t="s">
        <v>1230</v>
      </c>
      <c r="B94" s="444"/>
      <c r="C94" s="445"/>
      <c r="D94" s="446"/>
      <c r="E94" s="447"/>
      <c r="F94" s="446"/>
      <c r="G94" s="447">
        <f>SUM(G91:G93)</f>
        <v>-1</v>
      </c>
      <c r="H94" s="448">
        <f>SUM(H91:H93)</f>
        <v>-924</v>
      </c>
      <c r="I94" s="448">
        <f t="shared" ref="I94:J94" si="15">SUM(I91:I93)</f>
        <v>0</v>
      </c>
      <c r="J94" s="448">
        <f t="shared" si="15"/>
        <v>0</v>
      </c>
      <c r="K94" s="447">
        <f t="shared" ref="K94:X94" si="16">SUM(K91:K93)</f>
        <v>0</v>
      </c>
      <c r="L94" s="447">
        <f t="shared" ref="L94" si="17">SUM(L91:L93)</f>
        <v>0</v>
      </c>
      <c r="M94" s="447">
        <f t="shared" si="16"/>
        <v>0</v>
      </c>
      <c r="N94" s="447">
        <f t="shared" si="16"/>
        <v>0</v>
      </c>
      <c r="O94" s="447">
        <f t="shared" si="16"/>
        <v>0</v>
      </c>
      <c r="P94" s="447">
        <f t="shared" si="16"/>
        <v>0</v>
      </c>
      <c r="Q94" s="447">
        <f t="shared" si="16"/>
        <v>0</v>
      </c>
      <c r="R94" s="447">
        <f t="shared" si="16"/>
        <v>0</v>
      </c>
      <c r="S94" s="447">
        <f t="shared" si="16"/>
        <v>-1</v>
      </c>
      <c r="T94" s="447">
        <f t="shared" si="16"/>
        <v>0</v>
      </c>
      <c r="U94" s="447">
        <f t="shared" si="16"/>
        <v>0</v>
      </c>
      <c r="V94" s="447">
        <f t="shared" si="16"/>
        <v>0</v>
      </c>
      <c r="W94" s="447">
        <f t="shared" si="16"/>
        <v>0</v>
      </c>
      <c r="X94" s="447">
        <f t="shared" si="16"/>
        <v>-1</v>
      </c>
    </row>
    <row r="96" spans="1:24" x14ac:dyDescent="0.25">
      <c r="A96" s="739" t="s">
        <v>1231</v>
      </c>
      <c r="B96" s="739"/>
    </row>
    <row r="97" spans="1:24" ht="30" x14ac:dyDescent="0.25">
      <c r="A97" s="423" t="s">
        <v>1</v>
      </c>
      <c r="B97" s="449" t="s">
        <v>59</v>
      </c>
      <c r="C97" s="425"/>
      <c r="D97" s="425"/>
      <c r="E97" s="425"/>
      <c r="F97" s="426"/>
      <c r="G97" s="432" t="s">
        <v>1225</v>
      </c>
      <c r="H97" s="427" t="s">
        <v>1224</v>
      </c>
      <c r="I97" s="427" t="s">
        <v>1498</v>
      </c>
      <c r="J97" s="427" t="s">
        <v>94</v>
      </c>
      <c r="K97" s="424" t="s">
        <v>681</v>
      </c>
      <c r="L97" s="424" t="s">
        <v>1496</v>
      </c>
      <c r="M97" s="424" t="s">
        <v>1497</v>
      </c>
      <c r="N97" s="424" t="s">
        <v>682</v>
      </c>
      <c r="O97" s="424" t="s">
        <v>683</v>
      </c>
      <c r="P97" s="424" t="s">
        <v>87</v>
      </c>
      <c r="Q97" s="424" t="s">
        <v>684</v>
      </c>
      <c r="R97" s="424" t="s">
        <v>685</v>
      </c>
      <c r="S97" s="424" t="s">
        <v>690</v>
      </c>
      <c r="T97" s="424" t="s">
        <v>686</v>
      </c>
      <c r="U97" s="424" t="s">
        <v>687</v>
      </c>
      <c r="V97" s="424" t="s">
        <v>688</v>
      </c>
      <c r="W97" s="424" t="s">
        <v>689</v>
      </c>
      <c r="X97" s="424" t="s">
        <v>1238</v>
      </c>
    </row>
    <row r="98" spans="1:24" ht="15" customHeight="1" x14ac:dyDescent="0.25">
      <c r="A98" s="27"/>
      <c r="B98" s="24"/>
      <c r="C98" s="430"/>
      <c r="D98" s="431"/>
      <c r="E98" s="421"/>
      <c r="F98" s="431"/>
      <c r="G98" s="421"/>
      <c r="H98" s="28"/>
      <c r="I98" s="485"/>
      <c r="J98" s="485"/>
      <c r="K98" s="24"/>
      <c r="L98" s="483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>
        <f t="shared" ref="X98:X100" si="18">SUM(K98:W98)</f>
        <v>0</v>
      </c>
    </row>
    <row r="99" spans="1:24" ht="15" customHeight="1" x14ac:dyDescent="0.25">
      <c r="A99" s="27"/>
      <c r="B99" s="24"/>
      <c r="C99" s="430"/>
      <c r="D99" s="431"/>
      <c r="E99" s="421"/>
      <c r="F99" s="431"/>
      <c r="G99" s="421"/>
      <c r="H99" s="28"/>
      <c r="I99" s="485"/>
      <c r="J99" s="485"/>
      <c r="K99" s="24"/>
      <c r="L99" s="483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>
        <f t="shared" si="18"/>
        <v>0</v>
      </c>
    </row>
    <row r="100" spans="1:24" ht="15" customHeight="1" x14ac:dyDescent="0.25">
      <c r="A100" s="27"/>
      <c r="B100" s="24"/>
      <c r="C100" s="430"/>
      <c r="D100" s="431"/>
      <c r="E100" s="421"/>
      <c r="F100" s="431"/>
      <c r="G100" s="421"/>
      <c r="H100" s="28"/>
      <c r="I100" s="485"/>
      <c r="J100" s="485"/>
      <c r="K100" s="24"/>
      <c r="L100" s="48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>
        <f t="shared" si="18"/>
        <v>0</v>
      </c>
    </row>
    <row r="101" spans="1:24" ht="15" customHeight="1" x14ac:dyDescent="0.25">
      <c r="A101" s="443" t="s">
        <v>1230</v>
      </c>
      <c r="B101" s="444"/>
      <c r="C101" s="445"/>
      <c r="D101" s="446"/>
      <c r="E101" s="447"/>
      <c r="F101" s="446"/>
      <c r="G101" s="447">
        <f>SUM(G98:G100)</f>
        <v>0</v>
      </c>
      <c r="H101" s="448">
        <f>SUM(H98:H100)</f>
        <v>0</v>
      </c>
      <c r="I101" s="448">
        <f t="shared" ref="I101:J101" si="19">SUM(I98:I100)</f>
        <v>0</v>
      </c>
      <c r="J101" s="448">
        <f t="shared" si="19"/>
        <v>0</v>
      </c>
      <c r="K101" s="447">
        <f t="shared" ref="K101:X101" si="20">SUM(K98:K100)</f>
        <v>0</v>
      </c>
      <c r="L101" s="447">
        <f t="shared" ref="L101" si="21">SUM(L98:L100)</f>
        <v>0</v>
      </c>
      <c r="M101" s="447">
        <f t="shared" si="20"/>
        <v>0</v>
      </c>
      <c r="N101" s="447">
        <f t="shared" si="20"/>
        <v>0</v>
      </c>
      <c r="O101" s="447">
        <f t="shared" si="20"/>
        <v>0</v>
      </c>
      <c r="P101" s="447">
        <f t="shared" si="20"/>
        <v>0</v>
      </c>
      <c r="Q101" s="447">
        <f t="shared" si="20"/>
        <v>0</v>
      </c>
      <c r="R101" s="447">
        <f t="shared" si="20"/>
        <v>0</v>
      </c>
      <c r="S101" s="447">
        <f t="shared" si="20"/>
        <v>0</v>
      </c>
      <c r="T101" s="447">
        <f t="shared" si="20"/>
        <v>0</v>
      </c>
      <c r="U101" s="447">
        <f t="shared" si="20"/>
        <v>0</v>
      </c>
      <c r="V101" s="447">
        <f t="shared" si="20"/>
        <v>0</v>
      </c>
      <c r="W101" s="447">
        <f t="shared" si="20"/>
        <v>0</v>
      </c>
      <c r="X101" s="447">
        <f t="shared" si="20"/>
        <v>0</v>
      </c>
    </row>
    <row r="102" spans="1:24" ht="15.75" thickBot="1" x14ac:dyDescent="0.3"/>
    <row r="103" spans="1:24" ht="15.75" thickBot="1" x14ac:dyDescent="0.3">
      <c r="A103" s="436" t="s">
        <v>1499</v>
      </c>
      <c r="B103" s="434"/>
      <c r="C103" s="434"/>
      <c r="D103" s="434"/>
      <c r="E103" s="434"/>
      <c r="F103" s="434"/>
      <c r="G103" s="437">
        <f>G68+G74+G87+G94+G101</f>
        <v>13</v>
      </c>
      <c r="H103" s="438">
        <f>H68+H74+H87+H94+H101</f>
        <v>32479</v>
      </c>
      <c r="I103" s="438">
        <f>I68+I74+I87+I94+I101</f>
        <v>0</v>
      </c>
      <c r="J103" s="438">
        <f>J68+J74+J87+J94+J101</f>
        <v>0</v>
      </c>
      <c r="K103" s="450">
        <f>K68+K74+K87+K94+K101</f>
        <v>2</v>
      </c>
      <c r="L103" s="450">
        <f t="shared" ref="L103" si="22">L68+L74+L87+L94+L101</f>
        <v>1</v>
      </c>
      <c r="M103" s="450">
        <f t="shared" ref="M103:X103" si="23">M68+M74+M87+M94+M101</f>
        <v>1</v>
      </c>
      <c r="N103" s="450">
        <f t="shared" si="23"/>
        <v>3</v>
      </c>
      <c r="O103" s="450">
        <f t="shared" si="23"/>
        <v>1</v>
      </c>
      <c r="P103" s="450">
        <f t="shared" si="23"/>
        <v>1</v>
      </c>
      <c r="Q103" s="450">
        <f t="shared" si="23"/>
        <v>2</v>
      </c>
      <c r="R103" s="450">
        <f t="shared" si="23"/>
        <v>2</v>
      </c>
      <c r="S103" s="450">
        <f t="shared" si="23"/>
        <v>-1</v>
      </c>
      <c r="T103" s="450">
        <f t="shared" si="23"/>
        <v>0</v>
      </c>
      <c r="U103" s="450">
        <f t="shared" si="23"/>
        <v>0</v>
      </c>
      <c r="V103" s="450">
        <f t="shared" si="23"/>
        <v>3</v>
      </c>
      <c r="W103" s="450">
        <f t="shared" si="23"/>
        <v>1</v>
      </c>
      <c r="X103" s="450">
        <f t="shared" si="23"/>
        <v>16</v>
      </c>
    </row>
    <row r="104" spans="1:24" ht="15.75" thickBot="1" x14ac:dyDescent="0.3">
      <c r="A104" s="436" t="s">
        <v>64</v>
      </c>
      <c r="B104" s="434"/>
      <c r="C104" s="434"/>
      <c r="D104" s="434"/>
      <c r="E104" s="434"/>
      <c r="F104" s="434"/>
      <c r="G104" s="437"/>
      <c r="H104" s="438">
        <v>56788.659999999982</v>
      </c>
      <c r="I104" s="438"/>
      <c r="J104" s="438"/>
    </row>
    <row r="105" spans="1:24" ht="15.75" thickBot="1" x14ac:dyDescent="0.3">
      <c r="A105" s="439" t="s">
        <v>452</v>
      </c>
      <c r="B105" s="440"/>
      <c r="C105" s="440"/>
      <c r="D105" s="440"/>
      <c r="E105" s="440"/>
      <c r="F105" s="440"/>
      <c r="G105" s="441"/>
      <c r="H105" s="442">
        <f>H103-H104</f>
        <v>-24309.659999999982</v>
      </c>
      <c r="I105" s="442"/>
      <c r="J105" s="442"/>
    </row>
    <row r="108" spans="1:24" x14ac:dyDescent="0.25">
      <c r="H108" s="435">
        <f>H68+H87+H94+H101</f>
        <v>19729.000000000004</v>
      </c>
      <c r="I108" s="435"/>
      <c r="J108" s="435"/>
    </row>
  </sheetData>
  <sortState ref="A79:I87">
    <sortCondition ref="A79:A87"/>
  </sortState>
  <mergeCells count="8">
    <mergeCell ref="A89:B89"/>
    <mergeCell ref="A96:B96"/>
    <mergeCell ref="C3:D3"/>
    <mergeCell ref="E3:F3"/>
    <mergeCell ref="G3:H3"/>
    <mergeCell ref="A3:B3"/>
    <mergeCell ref="A70:B70"/>
    <mergeCell ref="A76:B7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/>
    <pageSetUpPr fitToPage="1"/>
  </sheetPr>
  <dimension ref="A1:U55"/>
  <sheetViews>
    <sheetView topLeftCell="A32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1239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9" t="s">
        <v>302</v>
      </c>
      <c r="B5" s="6" t="s">
        <v>60</v>
      </c>
      <c r="C5" s="6">
        <v>3</v>
      </c>
      <c r="D5" s="414">
        <f>6092-192</f>
        <v>5900</v>
      </c>
      <c r="E5" s="24">
        <v>3</v>
      </c>
      <c r="F5" s="414">
        <v>4620</v>
      </c>
      <c r="G5" s="24">
        <f t="shared" ref="G5:H10" si="0">E5-C5</f>
        <v>0</v>
      </c>
      <c r="H5" s="414">
        <f t="shared" si="0"/>
        <v>-1280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0" si="1">SUM(I5:T5)</f>
        <v>0</v>
      </c>
    </row>
    <row r="6" spans="1:21" ht="14.45" customHeight="1" x14ac:dyDescent="0.25">
      <c r="A6" s="9" t="s">
        <v>250</v>
      </c>
      <c r="B6" s="6" t="s">
        <v>60</v>
      </c>
      <c r="C6" s="6">
        <v>8</v>
      </c>
      <c r="D6" s="414">
        <v>12663</v>
      </c>
      <c r="E6" s="24">
        <v>8</v>
      </c>
      <c r="F6" s="414">
        <v>13127</v>
      </c>
      <c r="G6" s="24">
        <f>E6-C6</f>
        <v>0</v>
      </c>
      <c r="H6" s="414">
        <f t="shared" si="0"/>
        <v>464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1"/>
        <v>0</v>
      </c>
    </row>
    <row r="7" spans="1:21" ht="14.45" customHeight="1" x14ac:dyDescent="0.25">
      <c r="A7" s="24" t="s">
        <v>328</v>
      </c>
      <c r="B7" s="9" t="s">
        <v>61</v>
      </c>
      <c r="C7" s="9">
        <v>5</v>
      </c>
      <c r="D7" s="414">
        <v>10000</v>
      </c>
      <c r="E7" s="24">
        <v>5</v>
      </c>
      <c r="F7" s="414">
        <v>8400</v>
      </c>
      <c r="G7" s="24">
        <f t="shared" si="0"/>
        <v>0</v>
      </c>
      <c r="H7" s="414">
        <f t="shared" si="0"/>
        <v>-1600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1"/>
        <v>0</v>
      </c>
    </row>
    <row r="8" spans="1:21" ht="14.45" customHeight="1" x14ac:dyDescent="0.25">
      <c r="A8" s="9" t="s">
        <v>163</v>
      </c>
      <c r="B8" s="9" t="s">
        <v>61</v>
      </c>
      <c r="C8" s="9">
        <v>4</v>
      </c>
      <c r="D8" s="414">
        <v>7700</v>
      </c>
      <c r="E8" s="24">
        <v>4</v>
      </c>
      <c r="F8" s="414">
        <v>8085</v>
      </c>
      <c r="G8" s="24">
        <f t="shared" si="0"/>
        <v>0</v>
      </c>
      <c r="H8" s="414">
        <f t="shared" si="0"/>
        <v>385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1"/>
        <v>0</v>
      </c>
    </row>
    <row r="9" spans="1:21" ht="14.45" customHeight="1" x14ac:dyDescent="0.25">
      <c r="A9" s="6" t="s">
        <v>204</v>
      </c>
      <c r="B9" s="6" t="s">
        <v>61</v>
      </c>
      <c r="C9" s="6">
        <v>8</v>
      </c>
      <c r="D9" s="414">
        <v>11718</v>
      </c>
      <c r="E9" s="24">
        <v>8</v>
      </c>
      <c r="F9" s="414">
        <v>10760</v>
      </c>
      <c r="G9" s="24">
        <f t="shared" si="0"/>
        <v>0</v>
      </c>
      <c r="H9" s="414">
        <f t="shared" si="0"/>
        <v>-958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1"/>
        <v>0</v>
      </c>
    </row>
    <row r="10" spans="1:21" ht="14.45" customHeight="1" x14ac:dyDescent="0.25">
      <c r="A10" s="6" t="s">
        <v>268</v>
      </c>
      <c r="B10" s="6" t="s">
        <v>61</v>
      </c>
      <c r="C10" s="6">
        <v>4</v>
      </c>
      <c r="D10" s="414">
        <v>4935</v>
      </c>
      <c r="E10" s="24">
        <v>4</v>
      </c>
      <c r="F10" s="414">
        <v>5620</v>
      </c>
      <c r="G10" s="24">
        <f t="shared" si="0"/>
        <v>0</v>
      </c>
      <c r="H10" s="414">
        <f t="shared" si="0"/>
        <v>685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1"/>
        <v>0</v>
      </c>
    </row>
    <row r="11" spans="1:21" ht="14.45" customHeight="1" x14ac:dyDescent="0.25">
      <c r="A11" s="24"/>
      <c r="B11" s="24"/>
      <c r="C11" s="24"/>
      <c r="D11" s="414"/>
      <c r="E11" s="24"/>
      <c r="F11" s="414"/>
      <c r="G11" s="24">
        <f t="shared" ref="G11:H14" si="2">E11-C11</f>
        <v>0</v>
      </c>
      <c r="H11" s="414">
        <f t="shared" si="2"/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ref="U11:U14" si="3">SUM(I11:T11)</f>
        <v>0</v>
      </c>
    </row>
    <row r="12" spans="1:21" ht="14.45" customHeight="1" x14ac:dyDescent="0.25">
      <c r="A12" s="24"/>
      <c r="B12" s="24"/>
      <c r="C12" s="24"/>
      <c r="D12" s="414"/>
      <c r="E12" s="24"/>
      <c r="F12" s="414"/>
      <c r="G12" s="24">
        <f t="shared" si="2"/>
        <v>0</v>
      </c>
      <c r="H12" s="414">
        <f t="shared" si="2"/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3"/>
        <v>0</v>
      </c>
    </row>
    <row r="13" spans="1:21" ht="14.45" customHeight="1" x14ac:dyDescent="0.25">
      <c r="A13" s="24"/>
      <c r="B13" s="24"/>
      <c r="C13" s="24"/>
      <c r="D13" s="414"/>
      <c r="E13" s="24"/>
      <c r="F13" s="414"/>
      <c r="G13" s="24">
        <f t="shared" si="2"/>
        <v>0</v>
      </c>
      <c r="H13" s="414">
        <f t="shared" si="2"/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3"/>
        <v>0</v>
      </c>
    </row>
    <row r="14" spans="1:21" ht="15" customHeight="1" x14ac:dyDescent="0.25">
      <c r="A14" s="24"/>
      <c r="B14" s="24"/>
      <c r="C14" s="24"/>
      <c r="D14" s="414"/>
      <c r="E14" s="24"/>
      <c r="F14" s="414"/>
      <c r="G14" s="24">
        <f t="shared" si="2"/>
        <v>0</v>
      </c>
      <c r="H14" s="414">
        <f t="shared" si="2"/>
        <v>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3"/>
        <v>0</v>
      </c>
    </row>
    <row r="15" spans="1:21" ht="15" customHeight="1" x14ac:dyDescent="0.25">
      <c r="A15" s="443" t="s">
        <v>1221</v>
      </c>
      <c r="B15" s="444"/>
      <c r="C15" s="447">
        <f t="shared" ref="C15:U15" si="4">SUM(C5:C14)</f>
        <v>32</v>
      </c>
      <c r="D15" s="447">
        <f t="shared" si="4"/>
        <v>52916</v>
      </c>
      <c r="E15" s="447">
        <f t="shared" si="4"/>
        <v>32</v>
      </c>
      <c r="F15" s="447">
        <f t="shared" si="4"/>
        <v>50612</v>
      </c>
      <c r="G15" s="447">
        <f t="shared" si="4"/>
        <v>0</v>
      </c>
      <c r="H15" s="448">
        <f t="shared" si="4"/>
        <v>-2304</v>
      </c>
      <c r="I15" s="447">
        <f t="shared" si="4"/>
        <v>0</v>
      </c>
      <c r="J15" s="447">
        <f t="shared" si="4"/>
        <v>0</v>
      </c>
      <c r="K15" s="447">
        <f t="shared" si="4"/>
        <v>0</v>
      </c>
      <c r="L15" s="447">
        <f t="shared" si="4"/>
        <v>0</v>
      </c>
      <c r="M15" s="447">
        <f t="shared" si="4"/>
        <v>0</v>
      </c>
      <c r="N15" s="447">
        <f t="shared" si="4"/>
        <v>0</v>
      </c>
      <c r="O15" s="447">
        <f t="shared" si="4"/>
        <v>0</v>
      </c>
      <c r="P15" s="447">
        <f t="shared" si="4"/>
        <v>0</v>
      </c>
      <c r="Q15" s="447">
        <f t="shared" si="4"/>
        <v>0</v>
      </c>
      <c r="R15" s="447">
        <f t="shared" si="4"/>
        <v>0</v>
      </c>
      <c r="S15" s="447">
        <f t="shared" si="4"/>
        <v>0</v>
      </c>
      <c r="T15" s="447">
        <f t="shared" si="4"/>
        <v>0</v>
      </c>
      <c r="U15" s="447">
        <f t="shared" si="4"/>
        <v>0</v>
      </c>
    </row>
    <row r="17" spans="1:21" x14ac:dyDescent="0.25">
      <c r="A17" s="739" t="s">
        <v>1227</v>
      </c>
      <c r="B17" s="739"/>
    </row>
    <row r="18" spans="1:21" ht="30" x14ac:dyDescent="0.25">
      <c r="A18" s="449" t="s">
        <v>1</v>
      </c>
      <c r="B18" s="449" t="s">
        <v>59</v>
      </c>
      <c r="C18" s="425" t="s">
        <v>1222</v>
      </c>
      <c r="D18" s="425" t="s">
        <v>1223</v>
      </c>
      <c r="E18" s="425" t="s">
        <v>392</v>
      </c>
      <c r="F18" s="426" t="s">
        <v>2</v>
      </c>
      <c r="G18" s="432" t="s">
        <v>1225</v>
      </c>
      <c r="H18" s="427" t="s">
        <v>1224</v>
      </c>
      <c r="I18" s="424" t="s">
        <v>681</v>
      </c>
      <c r="J18" s="424" t="s">
        <v>77</v>
      </c>
      <c r="K18" s="424" t="s">
        <v>682</v>
      </c>
      <c r="L18" s="424" t="s">
        <v>683</v>
      </c>
      <c r="M18" s="424" t="s">
        <v>87</v>
      </c>
      <c r="N18" s="424" t="s">
        <v>684</v>
      </c>
      <c r="O18" s="424" t="s">
        <v>685</v>
      </c>
      <c r="P18" s="424" t="s">
        <v>690</v>
      </c>
      <c r="Q18" s="424" t="s">
        <v>686</v>
      </c>
      <c r="R18" s="424" t="s">
        <v>687</v>
      </c>
      <c r="S18" s="424" t="s">
        <v>688</v>
      </c>
      <c r="T18" s="424" t="s">
        <v>689</v>
      </c>
      <c r="U18" s="424" t="s">
        <v>1238</v>
      </c>
    </row>
    <row r="19" spans="1:21" ht="15" customHeight="1" x14ac:dyDescent="0.25">
      <c r="A19" s="27" t="s">
        <v>1244</v>
      </c>
      <c r="B19" s="24" t="s">
        <v>60</v>
      </c>
      <c r="C19" s="430">
        <v>41786</v>
      </c>
      <c r="D19" s="431">
        <v>42030</v>
      </c>
      <c r="E19" s="421">
        <v>132</v>
      </c>
      <c r="F19" s="431">
        <v>42063</v>
      </c>
      <c r="G19" s="421">
        <v>4</v>
      </c>
      <c r="H19" s="28">
        <v>6200</v>
      </c>
      <c r="I19" s="24">
        <v>1</v>
      </c>
      <c r="J19" s="24"/>
      <c r="K19" s="24">
        <v>1</v>
      </c>
      <c r="L19" s="24"/>
      <c r="M19" s="24">
        <v>1</v>
      </c>
      <c r="N19" s="24">
        <v>1</v>
      </c>
      <c r="O19" s="24"/>
      <c r="P19" s="24"/>
      <c r="Q19" s="24"/>
      <c r="R19" s="24"/>
      <c r="S19" s="24"/>
      <c r="T19" s="24"/>
      <c r="U19" s="24">
        <f>SUM(I19:T19)</f>
        <v>4</v>
      </c>
    </row>
    <row r="20" spans="1:21" ht="15" customHeight="1" x14ac:dyDescent="0.25">
      <c r="A20" s="27"/>
      <c r="B20" s="24"/>
      <c r="C20" s="430"/>
      <c r="D20" s="431"/>
      <c r="E20" s="421"/>
      <c r="F20" s="431"/>
      <c r="G20" s="421"/>
      <c r="H20" s="2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>SUM(I20:T20)</f>
        <v>0</v>
      </c>
    </row>
    <row r="21" spans="1:21" ht="15" customHeight="1" x14ac:dyDescent="0.25">
      <c r="A21" s="27"/>
      <c r="B21" s="24"/>
      <c r="C21" s="430"/>
      <c r="D21" s="431"/>
      <c r="E21" s="421"/>
      <c r="F21" s="431"/>
      <c r="G21" s="421"/>
      <c r="H21" s="2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>SUM(I21:T21)</f>
        <v>0</v>
      </c>
    </row>
    <row r="22" spans="1:21" ht="15" customHeight="1" x14ac:dyDescent="0.25">
      <c r="A22" s="27"/>
      <c r="B22" s="24"/>
      <c r="C22" s="430"/>
      <c r="D22" s="431"/>
      <c r="E22" s="421"/>
      <c r="F22" s="431"/>
      <c r="G22" s="421"/>
      <c r="H22" s="2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>SUM(I22:T22)</f>
        <v>0</v>
      </c>
    </row>
    <row r="23" spans="1:21" ht="15" customHeight="1" x14ac:dyDescent="0.25">
      <c r="A23" s="27"/>
      <c r="B23" s="24"/>
      <c r="C23" s="430"/>
      <c r="D23" s="431"/>
      <c r="E23" s="421"/>
      <c r="F23" s="431"/>
      <c r="G23" s="421"/>
      <c r="H23" s="2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>SUM(I23:T23)</f>
        <v>0</v>
      </c>
    </row>
    <row r="24" spans="1:21" ht="15" customHeight="1" x14ac:dyDescent="0.25">
      <c r="A24" s="443" t="s">
        <v>1226</v>
      </c>
      <c r="B24" s="444"/>
      <c r="C24" s="445"/>
      <c r="D24" s="446"/>
      <c r="E24" s="447"/>
      <c r="F24" s="446"/>
      <c r="G24" s="447">
        <f t="shared" ref="G24:U24" si="5">SUM(G19:G23)</f>
        <v>4</v>
      </c>
      <c r="H24" s="448">
        <f t="shared" si="5"/>
        <v>6200</v>
      </c>
      <c r="I24" s="447">
        <f t="shared" si="5"/>
        <v>1</v>
      </c>
      <c r="J24" s="447">
        <f t="shared" si="5"/>
        <v>0</v>
      </c>
      <c r="K24" s="447">
        <f t="shared" si="5"/>
        <v>1</v>
      </c>
      <c r="L24" s="447">
        <f t="shared" si="5"/>
        <v>0</v>
      </c>
      <c r="M24" s="447">
        <f t="shared" si="5"/>
        <v>1</v>
      </c>
      <c r="N24" s="447">
        <f t="shared" si="5"/>
        <v>1</v>
      </c>
      <c r="O24" s="447">
        <f t="shared" si="5"/>
        <v>0</v>
      </c>
      <c r="P24" s="447">
        <f t="shared" si="5"/>
        <v>0</v>
      </c>
      <c r="Q24" s="447">
        <f t="shared" si="5"/>
        <v>0</v>
      </c>
      <c r="R24" s="447">
        <f t="shared" si="5"/>
        <v>0</v>
      </c>
      <c r="S24" s="447">
        <f t="shared" si="5"/>
        <v>0</v>
      </c>
      <c r="T24" s="447">
        <f t="shared" si="5"/>
        <v>0</v>
      </c>
      <c r="U24" s="447">
        <f t="shared" si="5"/>
        <v>4</v>
      </c>
    </row>
    <row r="25" spans="1:21" ht="15" customHeight="1" x14ac:dyDescent="0.25">
      <c r="A25" s="428"/>
      <c r="B25" s="422"/>
      <c r="C25" s="422"/>
      <c r="D25" s="429"/>
      <c r="E25" s="422"/>
      <c r="F25" s="429"/>
      <c r="G25" s="433"/>
      <c r="H25" s="422"/>
    </row>
    <row r="26" spans="1:21" x14ac:dyDescent="0.25">
      <c r="A26" s="739" t="s">
        <v>1228</v>
      </c>
      <c r="B26" s="739"/>
      <c r="G26" s="420"/>
    </row>
    <row r="27" spans="1:21" ht="30" x14ac:dyDescent="0.25">
      <c r="A27" s="449" t="s">
        <v>1</v>
      </c>
      <c r="B27" s="449" t="s">
        <v>59</v>
      </c>
      <c r="C27" s="425" t="s">
        <v>1222</v>
      </c>
      <c r="D27" s="425" t="s">
        <v>1223</v>
      </c>
      <c r="E27" s="425" t="s">
        <v>392</v>
      </c>
      <c r="F27" s="426" t="s">
        <v>2</v>
      </c>
      <c r="G27" s="432" t="s">
        <v>1225</v>
      </c>
      <c r="H27" s="427" t="s">
        <v>1224</v>
      </c>
      <c r="I27" s="424" t="s">
        <v>681</v>
      </c>
      <c r="J27" s="424" t="s">
        <v>77</v>
      </c>
      <c r="K27" s="424" t="s">
        <v>682</v>
      </c>
      <c r="L27" s="424" t="s">
        <v>683</v>
      </c>
      <c r="M27" s="424" t="s">
        <v>87</v>
      </c>
      <c r="N27" s="424" t="s">
        <v>684</v>
      </c>
      <c r="O27" s="424" t="s">
        <v>685</v>
      </c>
      <c r="P27" s="424" t="s">
        <v>690</v>
      </c>
      <c r="Q27" s="424" t="s">
        <v>686</v>
      </c>
      <c r="R27" s="424" t="s">
        <v>687</v>
      </c>
      <c r="S27" s="424" t="s">
        <v>688</v>
      </c>
      <c r="T27" s="424" t="s">
        <v>689</v>
      </c>
      <c r="U27" s="424" t="s">
        <v>1238</v>
      </c>
    </row>
    <row r="28" spans="1:21" ht="15" customHeight="1" x14ac:dyDescent="0.25">
      <c r="A28" s="27" t="s">
        <v>1246</v>
      </c>
      <c r="B28" s="24" t="s">
        <v>115</v>
      </c>
      <c r="C28" s="430">
        <v>42045</v>
      </c>
      <c r="D28" s="431">
        <v>42046</v>
      </c>
      <c r="E28" s="421">
        <v>1</v>
      </c>
      <c r="F28" s="431">
        <v>42018</v>
      </c>
      <c r="G28" s="421">
        <v>1</v>
      </c>
      <c r="H28" s="28">
        <v>1595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>
        <v>1</v>
      </c>
      <c r="T28" s="24"/>
      <c r="U28" s="24">
        <f t="shared" ref="U28:U31" si="6">SUM(I28:T28)</f>
        <v>1</v>
      </c>
    </row>
    <row r="29" spans="1:21" ht="15" customHeight="1" x14ac:dyDescent="0.25">
      <c r="A29" s="27" t="s">
        <v>182</v>
      </c>
      <c r="B29" s="24" t="s">
        <v>115</v>
      </c>
      <c r="C29" s="430">
        <v>41967</v>
      </c>
      <c r="D29" s="431">
        <v>42059</v>
      </c>
      <c r="E29" s="421">
        <f>D29-C29</f>
        <v>92</v>
      </c>
      <c r="F29" s="431">
        <v>42005</v>
      </c>
      <c r="G29" s="421">
        <v>1</v>
      </c>
      <c r="H29" s="28">
        <v>1595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v>1</v>
      </c>
      <c r="T29" s="24"/>
      <c r="U29" s="24">
        <f t="shared" si="6"/>
        <v>1</v>
      </c>
    </row>
    <row r="30" spans="1:21" ht="15" customHeight="1" x14ac:dyDescent="0.25">
      <c r="A30" s="27" t="s">
        <v>552</v>
      </c>
      <c r="B30" s="24" t="s">
        <v>115</v>
      </c>
      <c r="C30" s="430">
        <v>41992</v>
      </c>
      <c r="D30" s="431">
        <v>42065</v>
      </c>
      <c r="E30" s="421">
        <f>D30-C30</f>
        <v>73</v>
      </c>
      <c r="F30" s="431">
        <v>42036</v>
      </c>
      <c r="G30" s="421">
        <v>2</v>
      </c>
      <c r="H30" s="28">
        <v>2835</v>
      </c>
      <c r="I30" s="24">
        <v>1</v>
      </c>
      <c r="J30" s="24"/>
      <c r="K30" s="24"/>
      <c r="L30" s="24"/>
      <c r="M30" s="24">
        <v>1</v>
      </c>
      <c r="N30" s="24"/>
      <c r="O30" s="24"/>
      <c r="P30" s="24"/>
      <c r="Q30" s="24"/>
      <c r="R30" s="24"/>
      <c r="S30" s="24"/>
      <c r="T30" s="24"/>
      <c r="U30" s="24">
        <f t="shared" si="6"/>
        <v>2</v>
      </c>
    </row>
    <row r="31" spans="1:21" ht="15" customHeight="1" x14ac:dyDescent="0.25">
      <c r="A31" s="27" t="s">
        <v>1234</v>
      </c>
      <c r="B31" s="24" t="s">
        <v>115</v>
      </c>
      <c r="C31" s="430">
        <v>42018</v>
      </c>
      <c r="D31" s="431">
        <v>42045</v>
      </c>
      <c r="E31" s="421">
        <f>D31-C31</f>
        <v>27</v>
      </c>
      <c r="F31" s="431">
        <v>41640</v>
      </c>
      <c r="G31" s="421">
        <v>1</v>
      </c>
      <c r="H31" s="28">
        <v>420</v>
      </c>
      <c r="I31" s="24"/>
      <c r="J31" s="24"/>
      <c r="K31" s="24"/>
      <c r="L31" s="24">
        <v>1</v>
      </c>
      <c r="M31" s="24"/>
      <c r="N31" s="24"/>
      <c r="O31" s="24"/>
      <c r="P31" s="24"/>
      <c r="Q31" s="24"/>
      <c r="R31" s="24"/>
      <c r="S31" s="24"/>
      <c r="T31" s="24"/>
      <c r="U31" s="24">
        <f t="shared" si="6"/>
        <v>1</v>
      </c>
    </row>
    <row r="32" spans="1:21" ht="15" customHeight="1" x14ac:dyDescent="0.25">
      <c r="A32" s="443" t="s">
        <v>450</v>
      </c>
      <c r="B32" s="444"/>
      <c r="C32" s="445"/>
      <c r="D32" s="446"/>
      <c r="E32" s="447"/>
      <c r="F32" s="446"/>
      <c r="G32" s="447">
        <f t="shared" ref="G32:U32" si="7">SUM(G28:G31)</f>
        <v>5</v>
      </c>
      <c r="H32" s="448">
        <f t="shared" si="7"/>
        <v>6445</v>
      </c>
      <c r="I32" s="447">
        <f t="shared" si="7"/>
        <v>1</v>
      </c>
      <c r="J32" s="447">
        <f t="shared" si="7"/>
        <v>0</v>
      </c>
      <c r="K32" s="447">
        <f t="shared" si="7"/>
        <v>0</v>
      </c>
      <c r="L32" s="447">
        <f t="shared" si="7"/>
        <v>1</v>
      </c>
      <c r="M32" s="447">
        <f t="shared" si="7"/>
        <v>1</v>
      </c>
      <c r="N32" s="447">
        <f t="shared" si="7"/>
        <v>0</v>
      </c>
      <c r="O32" s="447">
        <f t="shared" si="7"/>
        <v>0</v>
      </c>
      <c r="P32" s="447">
        <f t="shared" si="7"/>
        <v>0</v>
      </c>
      <c r="Q32" s="447">
        <f t="shared" si="7"/>
        <v>0</v>
      </c>
      <c r="R32" s="447">
        <f t="shared" si="7"/>
        <v>0</v>
      </c>
      <c r="S32" s="447">
        <f t="shared" si="7"/>
        <v>2</v>
      </c>
      <c r="T32" s="447">
        <f t="shared" si="7"/>
        <v>0</v>
      </c>
      <c r="U32" s="447">
        <f t="shared" si="7"/>
        <v>5</v>
      </c>
    </row>
    <row r="34" spans="1:21" x14ac:dyDescent="0.25">
      <c r="A34" s="739" t="s">
        <v>1229</v>
      </c>
      <c r="B34" s="739"/>
    </row>
    <row r="35" spans="1:21" ht="30" x14ac:dyDescent="0.25">
      <c r="A35" s="449" t="s">
        <v>1</v>
      </c>
      <c r="B35" s="449" t="s">
        <v>59</v>
      </c>
      <c r="C35" s="425"/>
      <c r="D35" s="425"/>
      <c r="E35" s="425"/>
      <c r="F35" s="426"/>
      <c r="G35" s="432" t="s">
        <v>1225</v>
      </c>
      <c r="H35" s="427" t="s">
        <v>1224</v>
      </c>
      <c r="I35" s="424" t="s">
        <v>681</v>
      </c>
      <c r="J35" s="424" t="s">
        <v>77</v>
      </c>
      <c r="K35" s="424" t="s">
        <v>682</v>
      </c>
      <c r="L35" s="424" t="s">
        <v>683</v>
      </c>
      <c r="M35" s="424" t="s">
        <v>87</v>
      </c>
      <c r="N35" s="424" t="s">
        <v>684</v>
      </c>
      <c r="O35" s="424" t="s">
        <v>685</v>
      </c>
      <c r="P35" s="424" t="s">
        <v>690</v>
      </c>
      <c r="Q35" s="424" t="s">
        <v>686</v>
      </c>
      <c r="R35" s="424" t="s">
        <v>687</v>
      </c>
      <c r="S35" s="424" t="s">
        <v>688</v>
      </c>
      <c r="T35" s="424" t="s">
        <v>689</v>
      </c>
      <c r="U35" s="424" t="s">
        <v>1238</v>
      </c>
    </row>
    <row r="36" spans="1:21" ht="15" customHeight="1" x14ac:dyDescent="0.25">
      <c r="A36" s="27" t="s">
        <v>1240</v>
      </c>
      <c r="B36" s="24" t="s">
        <v>61</v>
      </c>
      <c r="C36" s="430"/>
      <c r="D36" s="431"/>
      <c r="E36" s="421"/>
      <c r="F36" s="431"/>
      <c r="G36" s="421">
        <v>-4</v>
      </c>
      <c r="H36" s="28">
        <f>-1550*4</f>
        <v>-6200</v>
      </c>
      <c r="I36" s="24"/>
      <c r="J36" s="24">
        <v>-2</v>
      </c>
      <c r="K36" s="24"/>
      <c r="L36" s="24"/>
      <c r="M36" s="24"/>
      <c r="N36" s="24">
        <v>-1</v>
      </c>
      <c r="O36" s="24">
        <v>-1</v>
      </c>
      <c r="P36" s="24"/>
      <c r="Q36" s="24"/>
      <c r="R36" s="24"/>
      <c r="S36" s="24"/>
      <c r="T36" s="24"/>
      <c r="U36" s="24">
        <f t="shared" ref="U36:U40" si="8">SUM(I36:T36)</f>
        <v>-4</v>
      </c>
    </row>
    <row r="37" spans="1:21" ht="15" customHeight="1" x14ac:dyDescent="0.25">
      <c r="A37" s="27" t="s">
        <v>1241</v>
      </c>
      <c r="B37" s="24" t="s">
        <v>61</v>
      </c>
      <c r="C37" s="430"/>
      <c r="D37" s="431"/>
      <c r="E37" s="421"/>
      <c r="F37" s="431"/>
      <c r="G37" s="421">
        <v>-1</v>
      </c>
      <c r="H37" s="28">
        <v>-2173</v>
      </c>
      <c r="I37" s="24"/>
      <c r="J37" s="24"/>
      <c r="K37" s="24"/>
      <c r="L37" s="24"/>
      <c r="M37" s="24"/>
      <c r="N37" s="24">
        <v>-1</v>
      </c>
      <c r="O37" s="24"/>
      <c r="P37" s="24"/>
      <c r="Q37" s="24"/>
      <c r="R37" s="24"/>
      <c r="S37" s="24"/>
      <c r="T37" s="24"/>
      <c r="U37" s="24">
        <f t="shared" si="8"/>
        <v>-1</v>
      </c>
    </row>
    <row r="38" spans="1:21" ht="15" customHeight="1" x14ac:dyDescent="0.25">
      <c r="A38" s="27" t="s">
        <v>1243</v>
      </c>
      <c r="B38" s="24" t="s">
        <v>61</v>
      </c>
      <c r="C38" s="430"/>
      <c r="D38" s="431"/>
      <c r="E38" s="421"/>
      <c r="F38" s="431"/>
      <c r="G38" s="421">
        <v>-2</v>
      </c>
      <c r="H38" s="28">
        <v>-3100</v>
      </c>
      <c r="I38" s="24"/>
      <c r="J38" s="24"/>
      <c r="K38" s="24"/>
      <c r="L38" s="24"/>
      <c r="M38" s="24">
        <v>-1</v>
      </c>
      <c r="N38" s="24">
        <v>-1</v>
      </c>
      <c r="O38" s="24"/>
      <c r="P38" s="24"/>
      <c r="Q38" s="24"/>
      <c r="R38" s="24"/>
      <c r="S38" s="24"/>
      <c r="T38" s="24"/>
      <c r="U38" s="24">
        <f t="shared" ref="U38:U39" si="9">SUM(I38:T38)</f>
        <v>-2</v>
      </c>
    </row>
    <row r="39" spans="1:21" ht="15" customHeight="1" x14ac:dyDescent="0.25">
      <c r="A39" s="27"/>
      <c r="B39" s="24"/>
      <c r="C39" s="430"/>
      <c r="D39" s="431"/>
      <c r="E39" s="421"/>
      <c r="F39" s="431"/>
      <c r="G39" s="421"/>
      <c r="H39" s="2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>
        <f t="shared" si="9"/>
        <v>0</v>
      </c>
    </row>
    <row r="40" spans="1:21" ht="15" customHeight="1" x14ac:dyDescent="0.25">
      <c r="A40" s="27"/>
      <c r="B40" s="24"/>
      <c r="C40" s="430"/>
      <c r="D40" s="431"/>
      <c r="E40" s="421"/>
      <c r="F40" s="431"/>
      <c r="G40" s="421"/>
      <c r="H40" s="2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 t="shared" si="8"/>
        <v>0</v>
      </c>
    </row>
    <row r="41" spans="1:21" ht="15" customHeight="1" x14ac:dyDescent="0.25">
      <c r="A41" s="443" t="s">
        <v>1230</v>
      </c>
      <c r="B41" s="444"/>
      <c r="C41" s="445"/>
      <c r="D41" s="446"/>
      <c r="E41" s="447"/>
      <c r="F41" s="446"/>
      <c r="G41" s="447">
        <f>SUM(G36:G40)</f>
        <v>-7</v>
      </c>
      <c r="H41" s="448">
        <f>SUM(H36:H40)</f>
        <v>-11473</v>
      </c>
      <c r="I41" s="447">
        <f t="shared" ref="I41:U41" si="10">SUM(I36:I40)</f>
        <v>0</v>
      </c>
      <c r="J41" s="447">
        <f t="shared" si="10"/>
        <v>-2</v>
      </c>
      <c r="K41" s="447">
        <f t="shared" si="10"/>
        <v>0</v>
      </c>
      <c r="L41" s="447">
        <f t="shared" si="10"/>
        <v>0</v>
      </c>
      <c r="M41" s="447">
        <f t="shared" si="10"/>
        <v>-1</v>
      </c>
      <c r="N41" s="447">
        <f t="shared" si="10"/>
        <v>-3</v>
      </c>
      <c r="O41" s="447">
        <f t="shared" si="10"/>
        <v>-1</v>
      </c>
      <c r="P41" s="447">
        <f t="shared" si="10"/>
        <v>0</v>
      </c>
      <c r="Q41" s="447">
        <f t="shared" si="10"/>
        <v>0</v>
      </c>
      <c r="R41" s="447">
        <f t="shared" si="10"/>
        <v>0</v>
      </c>
      <c r="S41" s="447">
        <f t="shared" si="10"/>
        <v>0</v>
      </c>
      <c r="T41" s="447">
        <f t="shared" si="10"/>
        <v>0</v>
      </c>
      <c r="U41" s="447">
        <f t="shared" si="10"/>
        <v>-7</v>
      </c>
    </row>
    <row r="43" spans="1:21" x14ac:dyDescent="0.25">
      <c r="A43" s="739" t="s">
        <v>1231</v>
      </c>
      <c r="B43" s="739"/>
    </row>
    <row r="44" spans="1:21" ht="30" x14ac:dyDescent="0.25">
      <c r="A44" s="449" t="s">
        <v>1</v>
      </c>
      <c r="B44" s="449" t="s">
        <v>59</v>
      </c>
      <c r="C44" s="425"/>
      <c r="D44" s="425"/>
      <c r="E44" s="425"/>
      <c r="F44" s="426"/>
      <c r="G44" s="432" t="s">
        <v>1225</v>
      </c>
      <c r="H44" s="427" t="s">
        <v>1224</v>
      </c>
      <c r="I44" s="424" t="s">
        <v>681</v>
      </c>
      <c r="J44" s="424" t="s">
        <v>77</v>
      </c>
      <c r="K44" s="424" t="s">
        <v>682</v>
      </c>
      <c r="L44" s="424" t="s">
        <v>683</v>
      </c>
      <c r="M44" s="424" t="s">
        <v>87</v>
      </c>
      <c r="N44" s="424" t="s">
        <v>684</v>
      </c>
      <c r="O44" s="424" t="s">
        <v>685</v>
      </c>
      <c r="P44" s="424" t="s">
        <v>690</v>
      </c>
      <c r="Q44" s="424" t="s">
        <v>686</v>
      </c>
      <c r="R44" s="424" t="s">
        <v>687</v>
      </c>
      <c r="S44" s="424" t="s">
        <v>688</v>
      </c>
      <c r="T44" s="424" t="s">
        <v>689</v>
      </c>
      <c r="U44" s="424" t="s">
        <v>1238</v>
      </c>
    </row>
    <row r="45" spans="1:21" ht="15" customHeight="1" x14ac:dyDescent="0.25">
      <c r="A45" s="27" t="s">
        <v>1242</v>
      </c>
      <c r="B45" s="24" t="s">
        <v>61</v>
      </c>
      <c r="C45" s="430"/>
      <c r="D45" s="431"/>
      <c r="E45" s="421"/>
      <c r="F45" s="431"/>
      <c r="G45" s="421">
        <v>-6</v>
      </c>
      <c r="H45" s="28">
        <v>-7350</v>
      </c>
      <c r="I45" s="24">
        <v>-1</v>
      </c>
      <c r="J45" s="24">
        <v>-1</v>
      </c>
      <c r="K45" s="24">
        <v>-1</v>
      </c>
      <c r="L45" s="24">
        <v>-1</v>
      </c>
      <c r="M45" s="24"/>
      <c r="N45" s="24">
        <v>-1</v>
      </c>
      <c r="O45" s="24">
        <v>-1</v>
      </c>
      <c r="P45" s="24"/>
      <c r="Q45" s="24"/>
      <c r="R45" s="24"/>
      <c r="S45" s="24"/>
      <c r="T45" s="24"/>
      <c r="U45" s="24">
        <f t="shared" ref="U45:U47" si="11">SUM(I45:T45)</f>
        <v>-6</v>
      </c>
    </row>
    <row r="46" spans="1:21" ht="15" customHeight="1" x14ac:dyDescent="0.25">
      <c r="A46" s="27"/>
      <c r="B46" s="24"/>
      <c r="C46" s="430"/>
      <c r="D46" s="431"/>
      <c r="E46" s="421"/>
      <c r="F46" s="431"/>
      <c r="G46" s="421"/>
      <c r="H46" s="28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>
        <f t="shared" si="11"/>
        <v>0</v>
      </c>
    </row>
    <row r="47" spans="1:21" ht="15" customHeight="1" x14ac:dyDescent="0.25">
      <c r="A47" s="27"/>
      <c r="B47" s="24"/>
      <c r="C47" s="430"/>
      <c r="D47" s="431"/>
      <c r="E47" s="421"/>
      <c r="F47" s="431"/>
      <c r="G47" s="421"/>
      <c r="H47" s="28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f t="shared" si="11"/>
        <v>0</v>
      </c>
    </row>
    <row r="48" spans="1:21" ht="15" customHeight="1" x14ac:dyDescent="0.25">
      <c r="A48" s="443" t="s">
        <v>1230</v>
      </c>
      <c r="B48" s="444"/>
      <c r="C48" s="445"/>
      <c r="D48" s="446"/>
      <c r="E48" s="447"/>
      <c r="F48" s="446"/>
      <c r="G48" s="447">
        <f>SUM(G45:G47)</f>
        <v>-6</v>
      </c>
      <c r="H48" s="448">
        <f>SUM(H45:H47)</f>
        <v>-7350</v>
      </c>
      <c r="I48" s="447">
        <f t="shared" ref="I48:U48" si="12">SUM(I45:I47)</f>
        <v>-1</v>
      </c>
      <c r="J48" s="447">
        <f t="shared" si="12"/>
        <v>-1</v>
      </c>
      <c r="K48" s="447">
        <f t="shared" si="12"/>
        <v>-1</v>
      </c>
      <c r="L48" s="447">
        <f t="shared" si="12"/>
        <v>-1</v>
      </c>
      <c r="M48" s="447">
        <f t="shared" si="12"/>
        <v>0</v>
      </c>
      <c r="N48" s="447">
        <f t="shared" si="12"/>
        <v>-1</v>
      </c>
      <c r="O48" s="447">
        <f t="shared" si="12"/>
        <v>-1</v>
      </c>
      <c r="P48" s="447">
        <f t="shared" si="12"/>
        <v>0</v>
      </c>
      <c r="Q48" s="447">
        <f t="shared" si="12"/>
        <v>0</v>
      </c>
      <c r="R48" s="447">
        <f t="shared" si="12"/>
        <v>0</v>
      </c>
      <c r="S48" s="447">
        <f t="shared" si="12"/>
        <v>0</v>
      </c>
      <c r="T48" s="447">
        <f t="shared" si="12"/>
        <v>0</v>
      </c>
      <c r="U48" s="447">
        <f t="shared" si="12"/>
        <v>-6</v>
      </c>
    </row>
    <row r="49" spans="1:21" ht="15.75" thickBot="1" x14ac:dyDescent="0.3"/>
    <row r="50" spans="1:21" ht="15.75" thickBot="1" x14ac:dyDescent="0.3">
      <c r="A50" s="436" t="s">
        <v>1232</v>
      </c>
      <c r="B50" s="434"/>
      <c r="C50" s="434"/>
      <c r="D50" s="434"/>
      <c r="E50" s="434"/>
      <c r="F50" s="434"/>
      <c r="G50" s="437">
        <f t="shared" ref="G50:U50" si="13">G15+G24+G32+G41+G48</f>
        <v>-4</v>
      </c>
      <c r="H50" s="438">
        <f t="shared" si="13"/>
        <v>-8482</v>
      </c>
      <c r="I50" s="450">
        <f t="shared" si="13"/>
        <v>1</v>
      </c>
      <c r="J50" s="450">
        <f t="shared" si="13"/>
        <v>-3</v>
      </c>
      <c r="K50" s="450">
        <f t="shared" si="13"/>
        <v>0</v>
      </c>
      <c r="L50" s="450">
        <f t="shared" si="13"/>
        <v>0</v>
      </c>
      <c r="M50" s="450">
        <f t="shared" si="13"/>
        <v>1</v>
      </c>
      <c r="N50" s="450">
        <f t="shared" si="13"/>
        <v>-3</v>
      </c>
      <c r="O50" s="450">
        <f t="shared" si="13"/>
        <v>-2</v>
      </c>
      <c r="P50" s="450">
        <f t="shared" si="13"/>
        <v>0</v>
      </c>
      <c r="Q50" s="450">
        <f t="shared" si="13"/>
        <v>0</v>
      </c>
      <c r="R50" s="450">
        <f t="shared" si="13"/>
        <v>0</v>
      </c>
      <c r="S50" s="450">
        <f t="shared" si="13"/>
        <v>2</v>
      </c>
      <c r="T50" s="450">
        <f t="shared" si="13"/>
        <v>0</v>
      </c>
      <c r="U50" s="450">
        <f t="shared" si="13"/>
        <v>-4</v>
      </c>
    </row>
    <row r="51" spans="1:21" ht="15.75" thickBot="1" x14ac:dyDescent="0.3">
      <c r="A51" s="436" t="s">
        <v>64</v>
      </c>
      <c r="B51" s="434"/>
      <c r="C51" s="434"/>
      <c r="D51" s="434"/>
      <c r="E51" s="434"/>
      <c r="F51" s="434"/>
      <c r="G51" s="437"/>
      <c r="H51" s="438"/>
    </row>
    <row r="52" spans="1:21" ht="15.75" thickBot="1" x14ac:dyDescent="0.3">
      <c r="A52" s="439" t="s">
        <v>452</v>
      </c>
      <c r="B52" s="440"/>
      <c r="C52" s="440"/>
      <c r="D52" s="440"/>
      <c r="E52" s="440"/>
      <c r="F52" s="440"/>
      <c r="G52" s="441"/>
      <c r="H52" s="442">
        <f>H50-H51</f>
        <v>-8482</v>
      </c>
    </row>
    <row r="55" spans="1:21" x14ac:dyDescent="0.25">
      <c r="H55" s="435">
        <f>H15+H32+H40+H48+H41</f>
        <v>-14682</v>
      </c>
    </row>
  </sheetData>
  <sortState ref="A5:U10">
    <sortCondition ref="A5"/>
  </sortState>
  <mergeCells count="8">
    <mergeCell ref="G3:H3"/>
    <mergeCell ref="A17:B17"/>
    <mergeCell ref="A26:B26"/>
    <mergeCell ref="A34:B34"/>
    <mergeCell ref="A43:B43"/>
    <mergeCell ref="A3:B3"/>
    <mergeCell ref="C3:D3"/>
    <mergeCell ref="E3:F3"/>
  </mergeCells>
  <pageMargins left="0.7" right="0.7" top="0.75" bottom="0.75" header="0.3" footer="0.3"/>
  <pageSetup scale="5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/>
    <pageSetUpPr fitToPage="1"/>
  </sheetPr>
  <dimension ref="A1:V68"/>
  <sheetViews>
    <sheetView topLeftCell="A45" workbookViewId="0">
      <selection activeCell="E76" sqref="E76"/>
    </sheetView>
  </sheetViews>
  <sheetFormatPr defaultColWidth="8.85546875" defaultRowHeight="15" x14ac:dyDescent="0.25"/>
  <cols>
    <col min="1" max="1" width="55.42578125" style="419" bestFit="1" customWidth="1"/>
    <col min="2" max="2" width="8.85546875" style="419"/>
    <col min="3" max="8" width="11.85546875" style="419" customWidth="1"/>
    <col min="9" max="21" width="6.28515625" style="419" customWidth="1"/>
    <col min="22" max="22" width="19.85546875" style="419" bestFit="1" customWidth="1"/>
    <col min="23" max="16384" width="8.85546875" style="419"/>
  </cols>
  <sheetData>
    <row r="1" spans="1:21" x14ac:dyDescent="0.25">
      <c r="A1" s="418" t="s">
        <v>1251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9" t="s">
        <v>167</v>
      </c>
      <c r="B5" s="9"/>
      <c r="C5" s="9">
        <v>6</v>
      </c>
      <c r="D5" s="28">
        <v>9345</v>
      </c>
      <c r="E5" s="24">
        <v>6</v>
      </c>
      <c r="F5" s="414">
        <v>8640</v>
      </c>
      <c r="G5" s="24">
        <f t="shared" ref="G5:G14" si="0">E5-C5</f>
        <v>0</v>
      </c>
      <c r="H5" s="414">
        <f t="shared" ref="H5:H14" si="1">F5-D5</f>
        <v>-705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0" si="2">SUM(I5:T5)</f>
        <v>0</v>
      </c>
    </row>
    <row r="6" spans="1:21" ht="14.45" customHeight="1" x14ac:dyDescent="0.25">
      <c r="A6" s="22" t="s">
        <v>274</v>
      </c>
      <c r="B6" s="9"/>
      <c r="C6" s="9">
        <v>6</v>
      </c>
      <c r="D6" s="28">
        <v>12915</v>
      </c>
      <c r="E6" s="24">
        <v>6</v>
      </c>
      <c r="F6" s="414">
        <v>13290</v>
      </c>
      <c r="G6" s="24">
        <f t="shared" si="0"/>
        <v>0</v>
      </c>
      <c r="H6" s="414">
        <f t="shared" si="1"/>
        <v>375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2"/>
        <v>0</v>
      </c>
    </row>
    <row r="7" spans="1:21" ht="14.45" customHeight="1" x14ac:dyDescent="0.25">
      <c r="A7" s="9" t="s">
        <v>1253</v>
      </c>
      <c r="B7" s="9"/>
      <c r="C7" s="9">
        <v>6</v>
      </c>
      <c r="D7" s="28">
        <v>8295</v>
      </c>
      <c r="E7" s="24">
        <v>6</v>
      </c>
      <c r="F7" s="414">
        <v>7995</v>
      </c>
      <c r="G7" s="24">
        <f t="shared" si="0"/>
        <v>0</v>
      </c>
      <c r="H7" s="414">
        <f t="shared" si="1"/>
        <v>-300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2"/>
        <v>0</v>
      </c>
    </row>
    <row r="8" spans="1:21" ht="14.45" customHeight="1" x14ac:dyDescent="0.25">
      <c r="A8" s="9" t="s">
        <v>21</v>
      </c>
      <c r="B8" s="6"/>
      <c r="C8" s="9">
        <v>8</v>
      </c>
      <c r="D8" s="10">
        <v>10395</v>
      </c>
      <c r="E8" s="24">
        <v>8</v>
      </c>
      <c r="F8" s="414">
        <v>10791</v>
      </c>
      <c r="G8" s="24">
        <f t="shared" si="0"/>
        <v>0</v>
      </c>
      <c r="H8" s="414">
        <f t="shared" si="1"/>
        <v>396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2"/>
        <v>0</v>
      </c>
    </row>
    <row r="9" spans="1:21" ht="14.45" customHeight="1" x14ac:dyDescent="0.25">
      <c r="A9" s="9" t="s">
        <v>265</v>
      </c>
      <c r="B9" s="9"/>
      <c r="C9" s="9">
        <v>5</v>
      </c>
      <c r="D9" s="28">
        <v>9555</v>
      </c>
      <c r="E9" s="24">
        <v>5</v>
      </c>
      <c r="F9" s="414">
        <v>8127</v>
      </c>
      <c r="G9" s="24">
        <f t="shared" si="0"/>
        <v>0</v>
      </c>
      <c r="H9" s="414">
        <f t="shared" si="1"/>
        <v>-1428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2"/>
        <v>0</v>
      </c>
    </row>
    <row r="10" spans="1:21" ht="14.45" customHeight="1" x14ac:dyDescent="0.25">
      <c r="A10" s="9" t="s">
        <v>215</v>
      </c>
      <c r="B10" s="9"/>
      <c r="C10" s="9">
        <v>4</v>
      </c>
      <c r="D10" s="28">
        <v>8700</v>
      </c>
      <c r="E10" s="24">
        <v>4</v>
      </c>
      <c r="F10" s="414">
        <f>11550-2415</f>
        <v>9135</v>
      </c>
      <c r="G10" s="24">
        <f t="shared" si="0"/>
        <v>0</v>
      </c>
      <c r="H10" s="414">
        <f t="shared" si="1"/>
        <v>435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2"/>
        <v>0</v>
      </c>
    </row>
    <row r="11" spans="1:21" ht="14.45" customHeight="1" x14ac:dyDescent="0.25">
      <c r="A11" s="23" t="s">
        <v>284</v>
      </c>
      <c r="B11" s="6"/>
      <c r="C11" s="9">
        <v>4</v>
      </c>
      <c r="D11" s="10">
        <v>6200</v>
      </c>
      <c r="E11" s="24">
        <v>4</v>
      </c>
      <c r="F11" s="414">
        <v>6380</v>
      </c>
      <c r="G11" s="24">
        <f t="shared" si="0"/>
        <v>0</v>
      </c>
      <c r="H11" s="414">
        <f t="shared" si="1"/>
        <v>180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ref="U11:U14" si="3">SUM(I11:T11)</f>
        <v>0</v>
      </c>
    </row>
    <row r="12" spans="1:21" ht="14.45" customHeight="1" x14ac:dyDescent="0.25">
      <c r="A12" s="22" t="s">
        <v>314</v>
      </c>
      <c r="B12" s="6"/>
      <c r="C12" s="9">
        <v>8</v>
      </c>
      <c r="D12" s="10">
        <v>11205</v>
      </c>
      <c r="E12" s="24">
        <v>8</v>
      </c>
      <c r="F12" s="414">
        <v>11669</v>
      </c>
      <c r="G12" s="24">
        <f t="shared" si="0"/>
        <v>0</v>
      </c>
      <c r="H12" s="414">
        <f t="shared" si="1"/>
        <v>464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3"/>
        <v>0</v>
      </c>
    </row>
    <row r="13" spans="1:21" ht="14.45" customHeight="1" x14ac:dyDescent="0.25">
      <c r="A13" s="462" t="s">
        <v>221</v>
      </c>
      <c r="B13" s="6"/>
      <c r="C13" s="9">
        <v>7</v>
      </c>
      <c r="D13" s="10">
        <v>9072</v>
      </c>
      <c r="E13" s="24">
        <v>7</v>
      </c>
      <c r="F13" s="414">
        <v>11282</v>
      </c>
      <c r="G13" s="24">
        <f t="shared" si="0"/>
        <v>0</v>
      </c>
      <c r="H13" s="414">
        <f t="shared" si="1"/>
        <v>2210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3"/>
        <v>0</v>
      </c>
    </row>
    <row r="14" spans="1:21" ht="15" customHeight="1" x14ac:dyDescent="0.25">
      <c r="A14" s="6" t="s">
        <v>18</v>
      </c>
      <c r="B14" s="6"/>
      <c r="C14" s="9">
        <v>8</v>
      </c>
      <c r="D14" s="10">
        <v>11745</v>
      </c>
      <c r="E14" s="24">
        <v>8</v>
      </c>
      <c r="F14" s="414">
        <v>13383</v>
      </c>
      <c r="G14" s="24">
        <f t="shared" si="0"/>
        <v>0</v>
      </c>
      <c r="H14" s="414">
        <f t="shared" si="1"/>
        <v>1638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3"/>
        <v>0</v>
      </c>
    </row>
    <row r="15" spans="1:21" ht="14.45" customHeight="1" x14ac:dyDescent="0.25">
      <c r="A15" s="9" t="s">
        <v>19</v>
      </c>
      <c r="B15" s="9"/>
      <c r="C15" s="9">
        <v>8</v>
      </c>
      <c r="D15" s="28">
        <v>11340</v>
      </c>
      <c r="E15" s="24">
        <v>8</v>
      </c>
      <c r="F15" s="414">
        <v>13032</v>
      </c>
      <c r="G15" s="24">
        <f t="shared" ref="G15:H20" si="4">E15-C15</f>
        <v>0</v>
      </c>
      <c r="H15" s="414">
        <f t="shared" si="4"/>
        <v>1692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ref="U15:U20" si="5">SUM(I15:T15)</f>
        <v>0</v>
      </c>
    </row>
    <row r="16" spans="1:21" ht="14.45" customHeight="1" x14ac:dyDescent="0.25">
      <c r="A16" s="9" t="s">
        <v>20</v>
      </c>
      <c r="B16" s="9"/>
      <c r="C16" s="9">
        <v>8</v>
      </c>
      <c r="D16" s="28">
        <v>8127</v>
      </c>
      <c r="E16" s="24">
        <v>8</v>
      </c>
      <c r="F16" s="414">
        <v>8942</v>
      </c>
      <c r="G16" s="24">
        <f t="shared" si="4"/>
        <v>0</v>
      </c>
      <c r="H16" s="414">
        <f t="shared" si="4"/>
        <v>815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f t="shared" si="5"/>
        <v>0</v>
      </c>
    </row>
    <row r="17" spans="1:21" ht="14.45" customHeight="1" x14ac:dyDescent="0.25">
      <c r="A17" s="463" t="s">
        <v>1285</v>
      </c>
      <c r="B17" s="9"/>
      <c r="C17" s="9">
        <v>8</v>
      </c>
      <c r="D17" s="28">
        <v>3024</v>
      </c>
      <c r="E17" s="24">
        <v>0</v>
      </c>
      <c r="F17" s="414">
        <v>0</v>
      </c>
      <c r="G17" s="24">
        <f t="shared" si="4"/>
        <v>-8</v>
      </c>
      <c r="H17" s="414">
        <f t="shared" si="4"/>
        <v>-3024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 t="shared" si="5"/>
        <v>0</v>
      </c>
    </row>
    <row r="18" spans="1:21" ht="14.45" customHeight="1" x14ac:dyDescent="0.25">
      <c r="A18" s="6" t="s">
        <v>222</v>
      </c>
      <c r="B18" s="6"/>
      <c r="C18" s="9">
        <v>7</v>
      </c>
      <c r="D18" s="10">
        <v>7844</v>
      </c>
      <c r="E18" s="24">
        <v>7</v>
      </c>
      <c r="F18" s="414">
        <v>9918</v>
      </c>
      <c r="G18" s="24">
        <f t="shared" si="4"/>
        <v>0</v>
      </c>
      <c r="H18" s="414">
        <f t="shared" si="4"/>
        <v>2074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f t="shared" si="5"/>
        <v>0</v>
      </c>
    </row>
    <row r="19" spans="1:21" ht="14.45" customHeight="1" x14ac:dyDescent="0.25">
      <c r="A19" s="6" t="s">
        <v>176</v>
      </c>
      <c r="B19" s="6"/>
      <c r="C19" s="9">
        <v>2</v>
      </c>
      <c r="D19" s="10">
        <v>3100</v>
      </c>
      <c r="E19" s="24">
        <v>2</v>
      </c>
      <c r="F19" s="414">
        <v>3190</v>
      </c>
      <c r="G19" s="24">
        <f t="shared" si="4"/>
        <v>0</v>
      </c>
      <c r="H19" s="414">
        <f t="shared" si="4"/>
        <v>90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f t="shared" si="5"/>
        <v>0</v>
      </c>
    </row>
    <row r="20" spans="1:21" ht="14.45" customHeight="1" x14ac:dyDescent="0.25">
      <c r="A20" s="9" t="s">
        <v>329</v>
      </c>
      <c r="B20" s="9"/>
      <c r="C20" s="9">
        <v>3</v>
      </c>
      <c r="D20" s="28">
        <v>8600</v>
      </c>
      <c r="E20" s="24">
        <v>3</v>
      </c>
      <c r="F20" s="414">
        <v>8920</v>
      </c>
      <c r="G20" s="24">
        <f t="shared" si="4"/>
        <v>0</v>
      </c>
      <c r="H20" s="414">
        <f t="shared" si="4"/>
        <v>320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 t="shared" si="5"/>
        <v>0</v>
      </c>
    </row>
    <row r="21" spans="1:21" ht="14.45" customHeight="1" x14ac:dyDescent="0.25">
      <c r="A21" s="6" t="s">
        <v>203</v>
      </c>
      <c r="B21" s="6"/>
      <c r="C21" s="9">
        <v>10</v>
      </c>
      <c r="D21" s="10">
        <v>18186</v>
      </c>
      <c r="E21" s="24">
        <v>10</v>
      </c>
      <c r="F21" s="414">
        <v>19058</v>
      </c>
      <c r="G21" s="24">
        <f t="shared" ref="G21:H24" si="6">E21-C21</f>
        <v>0</v>
      </c>
      <c r="H21" s="414">
        <f t="shared" si="6"/>
        <v>872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ref="U21:U24" si="7">SUM(I21:T21)</f>
        <v>0</v>
      </c>
    </row>
    <row r="22" spans="1:21" ht="14.45" customHeight="1" x14ac:dyDescent="0.25">
      <c r="A22" s="6" t="s">
        <v>260</v>
      </c>
      <c r="B22" s="6"/>
      <c r="C22" s="9">
        <v>2</v>
      </c>
      <c r="D22" s="10">
        <v>3255</v>
      </c>
      <c r="E22" s="24">
        <v>2</v>
      </c>
      <c r="F22" s="414">
        <v>2915</v>
      </c>
      <c r="G22" s="24">
        <f t="shared" si="6"/>
        <v>0</v>
      </c>
      <c r="H22" s="414">
        <f t="shared" si="6"/>
        <v>-340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7"/>
        <v>0</v>
      </c>
    </row>
    <row r="23" spans="1:21" ht="14.45" customHeight="1" x14ac:dyDescent="0.25">
      <c r="A23" s="24"/>
      <c r="B23" s="24"/>
      <c r="C23" s="24"/>
      <c r="D23" s="414"/>
      <c r="E23" s="24"/>
      <c r="F23" s="414"/>
      <c r="G23" s="24">
        <f t="shared" si="6"/>
        <v>0</v>
      </c>
      <c r="H23" s="414">
        <f t="shared" si="6"/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7"/>
        <v>0</v>
      </c>
    </row>
    <row r="24" spans="1:21" ht="15" customHeight="1" x14ac:dyDescent="0.25">
      <c r="A24" s="24"/>
      <c r="B24" s="24"/>
      <c r="C24" s="24"/>
      <c r="D24" s="414"/>
      <c r="E24" s="24"/>
      <c r="F24" s="414"/>
      <c r="G24" s="24">
        <f t="shared" si="6"/>
        <v>0</v>
      </c>
      <c r="H24" s="414">
        <f t="shared" si="6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7"/>
        <v>0</v>
      </c>
    </row>
    <row r="25" spans="1:21" ht="15" customHeight="1" x14ac:dyDescent="0.25">
      <c r="A25" s="443" t="s">
        <v>1221</v>
      </c>
      <c r="B25" s="444"/>
      <c r="C25" s="461">
        <f>SUM(C5:C24)</f>
        <v>110</v>
      </c>
      <c r="D25" s="447">
        <f>SUM(D5:D24)</f>
        <v>160903</v>
      </c>
      <c r="E25" s="461">
        <f>SUM(E5:E22)</f>
        <v>102</v>
      </c>
      <c r="F25" s="447">
        <f>SUM(F5:F22)</f>
        <v>166667</v>
      </c>
      <c r="G25" s="447">
        <f t="shared" ref="G25:U25" si="8">SUM(G15:G24)</f>
        <v>-8</v>
      </c>
      <c r="H25" s="448">
        <f>SUM(H5:H24)</f>
        <v>5764</v>
      </c>
      <c r="I25" s="447">
        <f t="shared" si="8"/>
        <v>0</v>
      </c>
      <c r="J25" s="447">
        <f t="shared" si="8"/>
        <v>0</v>
      </c>
      <c r="K25" s="447">
        <f t="shared" si="8"/>
        <v>0</v>
      </c>
      <c r="L25" s="447">
        <f t="shared" si="8"/>
        <v>0</v>
      </c>
      <c r="M25" s="447">
        <f t="shared" si="8"/>
        <v>0</v>
      </c>
      <c r="N25" s="447">
        <f t="shared" si="8"/>
        <v>0</v>
      </c>
      <c r="O25" s="447">
        <f t="shared" si="8"/>
        <v>0</v>
      </c>
      <c r="P25" s="447">
        <f t="shared" si="8"/>
        <v>0</v>
      </c>
      <c r="Q25" s="447">
        <f t="shared" si="8"/>
        <v>0</v>
      </c>
      <c r="R25" s="447">
        <f t="shared" si="8"/>
        <v>0</v>
      </c>
      <c r="S25" s="447">
        <f t="shared" si="8"/>
        <v>0</v>
      </c>
      <c r="T25" s="447">
        <f t="shared" si="8"/>
        <v>0</v>
      </c>
      <c r="U25" s="447">
        <f t="shared" si="8"/>
        <v>0</v>
      </c>
    </row>
    <row r="27" spans="1:21" x14ac:dyDescent="0.25">
      <c r="A27" s="739" t="s">
        <v>1227</v>
      </c>
      <c r="B27" s="739"/>
    </row>
    <row r="28" spans="1:21" ht="30" x14ac:dyDescent="0.25">
      <c r="A28" s="449" t="s">
        <v>1</v>
      </c>
      <c r="B28" s="449" t="s">
        <v>59</v>
      </c>
      <c r="C28" s="425" t="s">
        <v>1222</v>
      </c>
      <c r="D28" s="425" t="s">
        <v>1223</v>
      </c>
      <c r="E28" s="425" t="s">
        <v>392</v>
      </c>
      <c r="F28" s="426" t="s">
        <v>2</v>
      </c>
      <c r="G28" s="432" t="s">
        <v>1225</v>
      </c>
      <c r="H28" s="427" t="s">
        <v>1224</v>
      </c>
      <c r="I28" s="424" t="s">
        <v>681</v>
      </c>
      <c r="J28" s="424" t="s">
        <v>77</v>
      </c>
      <c r="K28" s="424" t="s">
        <v>682</v>
      </c>
      <c r="L28" s="424" t="s">
        <v>683</v>
      </c>
      <c r="M28" s="424" t="s">
        <v>87</v>
      </c>
      <c r="N28" s="424" t="s">
        <v>684</v>
      </c>
      <c r="O28" s="424" t="s">
        <v>685</v>
      </c>
      <c r="P28" s="424" t="s">
        <v>690</v>
      </c>
      <c r="Q28" s="424" t="s">
        <v>686</v>
      </c>
      <c r="R28" s="424" t="s">
        <v>687</v>
      </c>
      <c r="S28" s="424" t="s">
        <v>688</v>
      </c>
      <c r="T28" s="424" t="s">
        <v>689</v>
      </c>
      <c r="U28" s="424" t="s">
        <v>1238</v>
      </c>
    </row>
    <row r="29" spans="1:21" ht="15" customHeight="1" x14ac:dyDescent="0.25">
      <c r="A29" s="27" t="s">
        <v>1210</v>
      </c>
      <c r="B29" s="24" t="s">
        <v>60</v>
      </c>
      <c r="C29" s="430">
        <v>42032</v>
      </c>
      <c r="D29" s="431">
        <v>42039</v>
      </c>
      <c r="E29" s="421">
        <v>7</v>
      </c>
      <c r="F29" s="431">
        <v>42064</v>
      </c>
      <c r="G29" s="421">
        <v>6</v>
      </c>
      <c r="H29" s="28">
        <v>9570</v>
      </c>
      <c r="I29" s="24">
        <v>1</v>
      </c>
      <c r="J29" s="24">
        <v>2</v>
      </c>
      <c r="K29" s="24">
        <v>1</v>
      </c>
      <c r="L29" s="24">
        <v>1</v>
      </c>
      <c r="M29" s="24"/>
      <c r="N29" s="24"/>
      <c r="O29" s="24">
        <v>1</v>
      </c>
      <c r="P29" s="24"/>
      <c r="Q29" s="24"/>
      <c r="R29" s="24"/>
      <c r="S29" s="24"/>
      <c r="T29" s="24"/>
      <c r="U29" s="24">
        <f t="shared" ref="U29:U34" si="9">SUM(I29:T29)</f>
        <v>6</v>
      </c>
    </row>
    <row r="30" spans="1:21" ht="15" customHeight="1" x14ac:dyDescent="0.25">
      <c r="A30" s="406" t="s">
        <v>1199</v>
      </c>
      <c r="B30" s="24" t="s">
        <v>60</v>
      </c>
      <c r="C30" s="430">
        <v>42030</v>
      </c>
      <c r="D30" s="431">
        <v>42059</v>
      </c>
      <c r="E30" s="421">
        <f>D30-C30</f>
        <v>29</v>
      </c>
      <c r="F30" s="431">
        <v>42065</v>
      </c>
      <c r="G30" s="421">
        <v>1</v>
      </c>
      <c r="H30" s="28">
        <v>2415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1</v>
      </c>
      <c r="T30" s="24"/>
      <c r="U30" s="24">
        <f>SUM(I30:T30)</f>
        <v>1</v>
      </c>
    </row>
    <row r="31" spans="1:21" ht="15" customHeight="1" x14ac:dyDescent="0.25">
      <c r="A31" s="27" t="s">
        <v>655</v>
      </c>
      <c r="B31" s="24" t="s">
        <v>60</v>
      </c>
      <c r="C31" s="430">
        <v>41934</v>
      </c>
      <c r="D31" s="431">
        <v>42081</v>
      </c>
      <c r="E31" s="421"/>
      <c r="F31" s="431">
        <v>42052</v>
      </c>
      <c r="G31" s="421">
        <v>4</v>
      </c>
      <c r="H31" s="28">
        <v>6200</v>
      </c>
      <c r="I31" s="24"/>
      <c r="J31" s="24">
        <v>2</v>
      </c>
      <c r="K31" s="24"/>
      <c r="L31" s="24"/>
      <c r="M31" s="24"/>
      <c r="N31" s="24">
        <v>1</v>
      </c>
      <c r="O31" s="24"/>
      <c r="P31" s="24"/>
      <c r="Q31" s="24">
        <v>1</v>
      </c>
      <c r="R31" s="24"/>
      <c r="S31" s="24"/>
      <c r="T31" s="24"/>
      <c r="U31" s="24">
        <f t="shared" si="9"/>
        <v>4</v>
      </c>
    </row>
    <row r="32" spans="1:21" ht="15" customHeight="1" x14ac:dyDescent="0.25">
      <c r="A32" s="406" t="s">
        <v>1263</v>
      </c>
      <c r="B32" s="24" t="s">
        <v>60</v>
      </c>
      <c r="C32" s="430">
        <v>41978</v>
      </c>
      <c r="D32" s="431">
        <v>42088</v>
      </c>
      <c r="E32" s="421"/>
      <c r="F32" s="431">
        <v>42094</v>
      </c>
      <c r="G32" s="421">
        <v>1</v>
      </c>
      <c r="H32" s="28">
        <v>1550</v>
      </c>
      <c r="I32" s="24"/>
      <c r="J32" s="24"/>
      <c r="K32" s="24"/>
      <c r="L32" s="24"/>
      <c r="M32" s="24">
        <v>1</v>
      </c>
      <c r="N32" s="24"/>
      <c r="O32" s="24"/>
      <c r="P32" s="24"/>
      <c r="Q32" s="24"/>
      <c r="R32" s="24"/>
      <c r="S32" s="24"/>
      <c r="T32" s="24"/>
      <c r="U32" s="24">
        <f t="shared" si="9"/>
        <v>1</v>
      </c>
    </row>
    <row r="33" spans="1:22" ht="15" customHeight="1" x14ac:dyDescent="0.25">
      <c r="A33" s="27" t="s">
        <v>1264</v>
      </c>
      <c r="B33" s="24" t="s">
        <v>60</v>
      </c>
      <c r="C33" s="430">
        <v>42030</v>
      </c>
      <c r="D33" s="431">
        <v>42088</v>
      </c>
      <c r="E33" s="421"/>
      <c r="F33" s="431">
        <v>42080</v>
      </c>
      <c r="G33" s="421">
        <v>1</v>
      </c>
      <c r="H33" s="28">
        <v>865</v>
      </c>
      <c r="I33" s="24"/>
      <c r="J33" s="24"/>
      <c r="K33" s="24"/>
      <c r="L33" s="24"/>
      <c r="M33" s="24">
        <v>1</v>
      </c>
      <c r="N33" s="24"/>
      <c r="O33" s="24"/>
      <c r="P33" s="24"/>
      <c r="Q33" s="24"/>
      <c r="R33" s="24"/>
      <c r="S33" s="24"/>
      <c r="T33" s="24"/>
      <c r="U33" s="24">
        <f t="shared" si="9"/>
        <v>1</v>
      </c>
    </row>
    <row r="34" spans="1:22" ht="15" customHeight="1" x14ac:dyDescent="0.25">
      <c r="A34" s="27" t="s">
        <v>1265</v>
      </c>
      <c r="B34" s="24" t="s">
        <v>60</v>
      </c>
      <c r="C34" s="430">
        <v>42030</v>
      </c>
      <c r="D34" s="431">
        <v>42088</v>
      </c>
      <c r="E34" s="421"/>
      <c r="F34" s="431">
        <v>42080</v>
      </c>
      <c r="G34" s="421">
        <v>1</v>
      </c>
      <c r="H34" s="28">
        <v>1945</v>
      </c>
      <c r="I34" s="24"/>
      <c r="J34" s="24"/>
      <c r="K34" s="24"/>
      <c r="L34" s="24"/>
      <c r="M34" s="24">
        <v>1</v>
      </c>
      <c r="N34" s="24"/>
      <c r="O34" s="24"/>
      <c r="P34" s="24"/>
      <c r="Q34" s="24"/>
      <c r="R34" s="24"/>
      <c r="S34" s="24"/>
      <c r="T34" s="24"/>
      <c r="U34" s="24">
        <f t="shared" si="9"/>
        <v>1</v>
      </c>
    </row>
    <row r="35" spans="1:22" ht="15" customHeight="1" x14ac:dyDescent="0.25">
      <c r="A35" s="27" t="s">
        <v>1270</v>
      </c>
      <c r="B35" s="24" t="s">
        <v>60</v>
      </c>
      <c r="C35" s="430">
        <v>41808</v>
      </c>
      <c r="D35" s="431">
        <v>42096</v>
      </c>
      <c r="E35" s="421"/>
      <c r="F35" s="431">
        <v>42075</v>
      </c>
      <c r="G35" s="421">
        <v>8</v>
      </c>
      <c r="H35" s="28">
        <v>11484</v>
      </c>
      <c r="I35" s="24">
        <v>1</v>
      </c>
      <c r="J35" s="24">
        <v>2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/>
      <c r="Q35" s="24">
        <v>1</v>
      </c>
      <c r="R35" s="24"/>
      <c r="S35" s="24"/>
      <c r="T35" s="24"/>
      <c r="U35" s="24">
        <v>8</v>
      </c>
    </row>
    <row r="36" spans="1:22" ht="30" x14ac:dyDescent="0.25">
      <c r="A36" s="27" t="s">
        <v>1271</v>
      </c>
      <c r="B36" s="24" t="s">
        <v>60</v>
      </c>
      <c r="C36" s="430">
        <v>42173</v>
      </c>
      <c r="D36" s="431">
        <v>42096</v>
      </c>
      <c r="E36" s="421"/>
      <c r="F36" s="431">
        <v>42075</v>
      </c>
      <c r="G36" s="421">
        <v>8</v>
      </c>
      <c r="H36" s="28">
        <v>11484</v>
      </c>
      <c r="I36" s="24">
        <v>1</v>
      </c>
      <c r="J36" s="24">
        <v>2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/>
      <c r="Q36" s="24">
        <v>1</v>
      </c>
      <c r="R36" s="24"/>
      <c r="S36" s="24"/>
      <c r="T36" s="24"/>
      <c r="U36" s="24">
        <v>8</v>
      </c>
    </row>
    <row r="37" spans="1:22" ht="15" customHeight="1" x14ac:dyDescent="0.25">
      <c r="A37" s="443" t="s">
        <v>1226</v>
      </c>
      <c r="B37" s="444"/>
      <c r="C37" s="445"/>
      <c r="D37" s="446"/>
      <c r="E37" s="447"/>
      <c r="F37" s="446"/>
      <c r="G37" s="447">
        <f>SUM(G29:G36)</f>
        <v>30</v>
      </c>
      <c r="H37" s="448">
        <f>SUM(H29:H36)</f>
        <v>45513</v>
      </c>
      <c r="I37" s="447">
        <f t="shared" ref="I37:U37" si="10">SUM(I29:I34)</f>
        <v>1</v>
      </c>
      <c r="J37" s="447">
        <f t="shared" si="10"/>
        <v>4</v>
      </c>
      <c r="K37" s="447">
        <f t="shared" si="10"/>
        <v>1</v>
      </c>
      <c r="L37" s="447">
        <f t="shared" si="10"/>
        <v>1</v>
      </c>
      <c r="M37" s="447">
        <f>SUM(M29:M36)</f>
        <v>5</v>
      </c>
      <c r="N37" s="447">
        <f t="shared" si="10"/>
        <v>1</v>
      </c>
      <c r="O37" s="447">
        <f t="shared" si="10"/>
        <v>1</v>
      </c>
      <c r="P37" s="447">
        <f t="shared" si="10"/>
        <v>0</v>
      </c>
      <c r="Q37" s="447">
        <f t="shared" si="10"/>
        <v>1</v>
      </c>
      <c r="R37" s="447">
        <f t="shared" si="10"/>
        <v>0</v>
      </c>
      <c r="S37" s="447">
        <f t="shared" si="10"/>
        <v>1</v>
      </c>
      <c r="T37" s="447">
        <f t="shared" si="10"/>
        <v>0</v>
      </c>
      <c r="U37" s="447">
        <f t="shared" si="10"/>
        <v>14</v>
      </c>
    </row>
    <row r="38" spans="1:22" ht="15" customHeight="1" x14ac:dyDescent="0.25">
      <c r="A38" s="428"/>
      <c r="B38" s="422"/>
      <c r="C38" s="422"/>
      <c r="D38" s="429"/>
      <c r="E38" s="422"/>
      <c r="F38" s="429"/>
      <c r="G38" s="433"/>
      <c r="H38" s="422"/>
    </row>
    <row r="39" spans="1:22" x14ac:dyDescent="0.25">
      <c r="A39" s="739" t="s">
        <v>1228</v>
      </c>
      <c r="B39" s="739"/>
      <c r="G39" s="420"/>
    </row>
    <row r="40" spans="1:22" ht="30" x14ac:dyDescent="0.25">
      <c r="A40" s="449" t="s">
        <v>1</v>
      </c>
      <c r="B40" s="449" t="s">
        <v>59</v>
      </c>
      <c r="C40" s="425" t="s">
        <v>1222</v>
      </c>
      <c r="D40" s="425" t="s">
        <v>1223</v>
      </c>
      <c r="E40" s="425" t="s">
        <v>392</v>
      </c>
      <c r="F40" s="426" t="s">
        <v>2</v>
      </c>
      <c r="G40" s="432" t="s">
        <v>1225</v>
      </c>
      <c r="H40" s="427" t="s">
        <v>1224</v>
      </c>
      <c r="I40" s="424" t="s">
        <v>681</v>
      </c>
      <c r="J40" s="424" t="s">
        <v>77</v>
      </c>
      <c r="K40" s="424" t="s">
        <v>682</v>
      </c>
      <c r="L40" s="424" t="s">
        <v>683</v>
      </c>
      <c r="M40" s="424" t="s">
        <v>87</v>
      </c>
      <c r="N40" s="424" t="s">
        <v>684</v>
      </c>
      <c r="O40" s="424" t="s">
        <v>685</v>
      </c>
      <c r="P40" s="424" t="s">
        <v>690</v>
      </c>
      <c r="Q40" s="424" t="s">
        <v>686</v>
      </c>
      <c r="R40" s="424" t="s">
        <v>687</v>
      </c>
      <c r="S40" s="424" t="s">
        <v>688</v>
      </c>
      <c r="T40" s="424" t="s">
        <v>689</v>
      </c>
      <c r="U40" s="424" t="s">
        <v>1238</v>
      </c>
    </row>
    <row r="41" spans="1:22" ht="15" customHeight="1" x14ac:dyDescent="0.25">
      <c r="A41" s="406" t="s">
        <v>1250</v>
      </c>
      <c r="B41" s="24" t="s">
        <v>115</v>
      </c>
      <c r="C41" s="430">
        <v>41941</v>
      </c>
      <c r="D41" s="431">
        <v>42068</v>
      </c>
      <c r="E41" s="421">
        <f>D41-C41</f>
        <v>127</v>
      </c>
      <c r="F41" s="431">
        <v>41941</v>
      </c>
      <c r="G41" s="421">
        <v>8</v>
      </c>
      <c r="H41" s="28">
        <v>7975</v>
      </c>
      <c r="I41" s="24"/>
      <c r="J41" s="24">
        <v>1</v>
      </c>
      <c r="K41" s="24">
        <v>1</v>
      </c>
      <c r="L41" s="24">
        <v>1</v>
      </c>
      <c r="M41" s="24"/>
      <c r="N41" s="24"/>
      <c r="O41" s="24">
        <v>1</v>
      </c>
      <c r="P41" s="24">
        <v>1</v>
      </c>
      <c r="Q41" s="24">
        <v>1</v>
      </c>
      <c r="R41" s="24">
        <v>1</v>
      </c>
      <c r="S41" s="24">
        <v>1</v>
      </c>
      <c r="T41" s="24"/>
      <c r="U41" s="24">
        <f t="shared" ref="U41:U43" si="11">SUM(I41:T41)</f>
        <v>8</v>
      </c>
    </row>
    <row r="42" spans="1:22" ht="15" customHeight="1" x14ac:dyDescent="0.25">
      <c r="A42" s="459" t="s">
        <v>1248</v>
      </c>
      <c r="B42" s="24" t="s">
        <v>115</v>
      </c>
      <c r="C42" s="430">
        <v>42055</v>
      </c>
      <c r="D42" s="431">
        <v>42067</v>
      </c>
      <c r="E42" s="421">
        <f>D42-C42</f>
        <v>12</v>
      </c>
      <c r="F42" s="431">
        <v>42064</v>
      </c>
      <c r="G42" s="421">
        <v>7</v>
      </c>
      <c r="H42" s="28">
        <v>10850</v>
      </c>
      <c r="I42" s="24"/>
      <c r="J42" s="24">
        <v>1</v>
      </c>
      <c r="K42" s="24">
        <v>1</v>
      </c>
      <c r="L42" s="24">
        <v>1</v>
      </c>
      <c r="M42" s="24">
        <v>1</v>
      </c>
      <c r="N42" s="24">
        <v>1</v>
      </c>
      <c r="O42" s="24"/>
      <c r="P42" s="24"/>
      <c r="Q42" s="24"/>
      <c r="R42" s="24"/>
      <c r="S42" s="24">
        <v>1</v>
      </c>
      <c r="T42" s="24"/>
      <c r="U42" s="24">
        <f t="shared" ref="U42" si="12">SUM(I42:T42)</f>
        <v>6</v>
      </c>
    </row>
    <row r="43" spans="1:22" ht="15" customHeight="1" x14ac:dyDescent="0.25">
      <c r="A43" s="27" t="s">
        <v>362</v>
      </c>
      <c r="B43" s="24" t="s">
        <v>115</v>
      </c>
      <c r="C43" s="430">
        <v>42068</v>
      </c>
      <c r="D43" s="431">
        <v>42074</v>
      </c>
      <c r="E43" s="421">
        <f>D43-C43</f>
        <v>6</v>
      </c>
      <c r="F43" s="431">
        <v>42064</v>
      </c>
      <c r="G43" s="421">
        <v>1</v>
      </c>
      <c r="H43" s="28">
        <v>1550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1</v>
      </c>
      <c r="T43" s="24"/>
      <c r="U43" s="24">
        <f t="shared" si="11"/>
        <v>1</v>
      </c>
    </row>
    <row r="44" spans="1:22" ht="15" customHeight="1" x14ac:dyDescent="0.25">
      <c r="A44" s="406" t="s">
        <v>1268</v>
      </c>
      <c r="B44" s="24" t="s">
        <v>60</v>
      </c>
      <c r="C44" s="430">
        <v>42068</v>
      </c>
      <c r="D44" s="431">
        <v>42087</v>
      </c>
      <c r="E44" s="421">
        <v>19</v>
      </c>
      <c r="F44" s="431">
        <v>42078</v>
      </c>
      <c r="G44" s="421">
        <v>2</v>
      </c>
      <c r="H44" s="28">
        <v>4347</v>
      </c>
      <c r="I44" s="24"/>
      <c r="J44" s="24">
        <v>1</v>
      </c>
      <c r="K44" s="24"/>
      <c r="L44" s="24"/>
      <c r="M44" s="24"/>
      <c r="N44" s="24">
        <v>1</v>
      </c>
      <c r="O44" s="24"/>
      <c r="P44" s="24"/>
      <c r="Q44" s="24"/>
      <c r="R44" s="24"/>
      <c r="S44" s="24"/>
      <c r="T44" s="24"/>
      <c r="U44" s="24">
        <f>SUM(I44:T44)</f>
        <v>2</v>
      </c>
    </row>
    <row r="45" spans="1:22" ht="15" customHeight="1" x14ac:dyDescent="0.25">
      <c r="A45" s="459" t="s">
        <v>1148</v>
      </c>
      <c r="B45" s="24" t="s">
        <v>115</v>
      </c>
      <c r="C45" s="430">
        <v>41984</v>
      </c>
      <c r="D45" s="431">
        <v>42056</v>
      </c>
      <c r="E45" s="421">
        <v>71</v>
      </c>
      <c r="F45" s="431">
        <v>42095</v>
      </c>
      <c r="G45" s="421">
        <v>1</v>
      </c>
      <c r="H45" s="28">
        <v>2415</v>
      </c>
      <c r="I45" s="24"/>
      <c r="J45" s="24">
        <v>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>
        <f t="shared" ref="U45:U46" si="13">SUM(I45:T45)</f>
        <v>1</v>
      </c>
      <c r="V45" s="419" t="s">
        <v>1282</v>
      </c>
    </row>
    <row r="46" spans="1:22" ht="15" customHeight="1" x14ac:dyDescent="0.25">
      <c r="A46" s="27" t="s">
        <v>1269</v>
      </c>
      <c r="B46" s="24" t="s">
        <v>115</v>
      </c>
      <c r="C46" s="430">
        <v>42095</v>
      </c>
      <c r="D46" s="431">
        <v>42095</v>
      </c>
      <c r="E46" s="421">
        <v>0</v>
      </c>
      <c r="F46" s="431">
        <v>42005</v>
      </c>
      <c r="G46" s="421">
        <v>1</v>
      </c>
      <c r="H46" s="28">
        <v>1550</v>
      </c>
      <c r="I46" s="24"/>
      <c r="J46" s="24"/>
      <c r="K46" s="24"/>
      <c r="L46" s="24"/>
      <c r="M46" s="24">
        <v>1</v>
      </c>
      <c r="N46" s="24"/>
      <c r="O46" s="24"/>
      <c r="P46" s="24"/>
      <c r="Q46" s="24"/>
      <c r="R46" s="24"/>
      <c r="S46" s="24"/>
      <c r="T46" s="24"/>
      <c r="U46" s="24">
        <f t="shared" si="13"/>
        <v>1</v>
      </c>
      <c r="V46" s="419" t="s">
        <v>1282</v>
      </c>
    </row>
    <row r="47" spans="1:22" ht="15" customHeight="1" x14ac:dyDescent="0.25">
      <c r="A47" s="443" t="s">
        <v>450</v>
      </c>
      <c r="B47" s="444"/>
      <c r="C47" s="445"/>
      <c r="D47" s="446"/>
      <c r="E47" s="447"/>
      <c r="F47" s="446"/>
      <c r="G47" s="447">
        <f t="shared" ref="G47:U47" si="14">SUM(G41:G46)</f>
        <v>20</v>
      </c>
      <c r="H47" s="448">
        <f t="shared" si="14"/>
        <v>28687</v>
      </c>
      <c r="I47" s="447">
        <f t="shared" si="14"/>
        <v>0</v>
      </c>
      <c r="J47" s="447">
        <f t="shared" si="14"/>
        <v>4</v>
      </c>
      <c r="K47" s="447">
        <f t="shared" si="14"/>
        <v>2</v>
      </c>
      <c r="L47" s="447">
        <f t="shared" si="14"/>
        <v>2</v>
      </c>
      <c r="M47" s="447">
        <f t="shared" si="14"/>
        <v>2</v>
      </c>
      <c r="N47" s="447">
        <f t="shared" si="14"/>
        <v>2</v>
      </c>
      <c r="O47" s="447">
        <f t="shared" si="14"/>
        <v>1</v>
      </c>
      <c r="P47" s="447">
        <f t="shared" si="14"/>
        <v>1</v>
      </c>
      <c r="Q47" s="447">
        <f t="shared" si="14"/>
        <v>1</v>
      </c>
      <c r="R47" s="447">
        <f t="shared" si="14"/>
        <v>1</v>
      </c>
      <c r="S47" s="447">
        <f t="shared" si="14"/>
        <v>3</v>
      </c>
      <c r="T47" s="447">
        <f t="shared" si="14"/>
        <v>0</v>
      </c>
      <c r="U47" s="447">
        <f t="shared" si="14"/>
        <v>19</v>
      </c>
    </row>
    <row r="49" spans="1:21" x14ac:dyDescent="0.25">
      <c r="A49" s="739" t="s">
        <v>1229</v>
      </c>
      <c r="B49" s="739"/>
    </row>
    <row r="50" spans="1:21" ht="30" x14ac:dyDescent="0.25">
      <c r="A50" s="449" t="s">
        <v>1</v>
      </c>
      <c r="B50" s="449" t="s">
        <v>59</v>
      </c>
      <c r="C50" s="425" t="s">
        <v>1222</v>
      </c>
      <c r="D50" s="425" t="s">
        <v>1223</v>
      </c>
      <c r="E50" s="425" t="s">
        <v>392</v>
      </c>
      <c r="F50" s="426" t="s">
        <v>2</v>
      </c>
      <c r="G50" s="432" t="s">
        <v>1225</v>
      </c>
      <c r="H50" s="427" t="s">
        <v>1224</v>
      </c>
      <c r="I50" s="424" t="s">
        <v>681</v>
      </c>
      <c r="J50" s="424" t="s">
        <v>77</v>
      </c>
      <c r="K50" s="424" t="s">
        <v>682</v>
      </c>
      <c r="L50" s="424" t="s">
        <v>683</v>
      </c>
      <c r="M50" s="424" t="s">
        <v>87</v>
      </c>
      <c r="N50" s="424" t="s">
        <v>684</v>
      </c>
      <c r="O50" s="424" t="s">
        <v>685</v>
      </c>
      <c r="P50" s="424" t="s">
        <v>690</v>
      </c>
      <c r="Q50" s="424" t="s">
        <v>686</v>
      </c>
      <c r="R50" s="424" t="s">
        <v>687</v>
      </c>
      <c r="S50" s="424" t="s">
        <v>688</v>
      </c>
      <c r="T50" s="424" t="s">
        <v>689</v>
      </c>
      <c r="U50" s="424" t="s">
        <v>1238</v>
      </c>
    </row>
    <row r="51" spans="1:21" ht="15" customHeight="1" x14ac:dyDescent="0.25">
      <c r="A51" s="27" t="s">
        <v>1262</v>
      </c>
      <c r="B51" s="24" t="s">
        <v>115</v>
      </c>
      <c r="C51" s="430">
        <v>42052</v>
      </c>
      <c r="D51" s="431">
        <v>42086</v>
      </c>
      <c r="E51" s="421"/>
      <c r="F51" s="431">
        <v>41927</v>
      </c>
      <c r="G51" s="421">
        <v>4</v>
      </c>
      <c r="H51" s="28">
        <v>-6200</v>
      </c>
      <c r="I51" s="24"/>
      <c r="J51" s="24"/>
      <c r="K51" s="24"/>
      <c r="L51" s="24">
        <v>-1</v>
      </c>
      <c r="M51" s="24">
        <v>-1</v>
      </c>
      <c r="N51" s="24">
        <v>-1</v>
      </c>
      <c r="O51" s="24">
        <v>-1</v>
      </c>
      <c r="P51" s="24"/>
      <c r="Q51" s="24"/>
      <c r="R51" s="24"/>
      <c r="S51" s="24"/>
      <c r="T51" s="24"/>
      <c r="U51" s="24">
        <f t="shared" ref="U51:U52" si="15">SUM(I51:T51)</f>
        <v>-4</v>
      </c>
    </row>
    <row r="52" spans="1:21" ht="15" customHeight="1" x14ac:dyDescent="0.25">
      <c r="A52" s="27" t="s">
        <v>37</v>
      </c>
      <c r="B52" s="24" t="s">
        <v>115</v>
      </c>
      <c r="C52" s="430">
        <v>42076</v>
      </c>
      <c r="D52" s="431">
        <v>42094</v>
      </c>
      <c r="E52" s="421"/>
      <c r="F52" s="431">
        <v>42094</v>
      </c>
      <c r="G52" s="421">
        <v>1</v>
      </c>
      <c r="H52" s="28">
        <v>-1365</v>
      </c>
      <c r="I52" s="24"/>
      <c r="J52" s="24"/>
      <c r="K52" s="24"/>
      <c r="L52" s="24"/>
      <c r="M52" s="24"/>
      <c r="N52" s="24">
        <v>-1</v>
      </c>
      <c r="O52" s="24"/>
      <c r="P52" s="24"/>
      <c r="Q52" s="24"/>
      <c r="R52" s="24"/>
      <c r="S52" s="24"/>
      <c r="T52" s="24"/>
      <c r="U52" s="24">
        <f t="shared" si="15"/>
        <v>-1</v>
      </c>
    </row>
    <row r="53" spans="1:21" ht="15" customHeight="1" x14ac:dyDescent="0.25">
      <c r="A53" s="27"/>
      <c r="B53" s="24"/>
      <c r="C53" s="430"/>
      <c r="D53" s="431"/>
      <c r="E53" s="421"/>
      <c r="F53" s="431"/>
      <c r="G53" s="421"/>
      <c r="H53" s="28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5" customHeight="1" x14ac:dyDescent="0.25">
      <c r="A54" s="443" t="s">
        <v>1230</v>
      </c>
      <c r="B54" s="444"/>
      <c r="C54" s="445"/>
      <c r="D54" s="446"/>
      <c r="E54" s="447"/>
      <c r="F54" s="446"/>
      <c r="G54" s="447">
        <f>SUM(G51:G53)</f>
        <v>5</v>
      </c>
      <c r="H54" s="448">
        <f>SUM(H51:H53)</f>
        <v>-7565</v>
      </c>
      <c r="I54" s="447">
        <f t="shared" ref="I54:U54" si="16">SUM(I51:I53)</f>
        <v>0</v>
      </c>
      <c r="J54" s="447">
        <f t="shared" si="16"/>
        <v>0</v>
      </c>
      <c r="K54" s="447">
        <f t="shared" si="16"/>
        <v>0</v>
      </c>
      <c r="L54" s="447">
        <f t="shared" si="16"/>
        <v>-1</v>
      </c>
      <c r="M54" s="447">
        <f t="shared" si="16"/>
        <v>-1</v>
      </c>
      <c r="N54" s="447">
        <f t="shared" si="16"/>
        <v>-2</v>
      </c>
      <c r="O54" s="447">
        <f t="shared" si="16"/>
        <v>-1</v>
      </c>
      <c r="P54" s="447">
        <f t="shared" si="16"/>
        <v>0</v>
      </c>
      <c r="Q54" s="447">
        <f t="shared" si="16"/>
        <v>0</v>
      </c>
      <c r="R54" s="447">
        <f t="shared" si="16"/>
        <v>0</v>
      </c>
      <c r="S54" s="447">
        <f t="shared" si="16"/>
        <v>0</v>
      </c>
      <c r="T54" s="447">
        <f t="shared" si="16"/>
        <v>0</v>
      </c>
      <c r="U54" s="447">
        <f t="shared" si="16"/>
        <v>-5</v>
      </c>
    </row>
    <row r="56" spans="1:21" x14ac:dyDescent="0.25">
      <c r="A56" s="739" t="s">
        <v>1231</v>
      </c>
      <c r="B56" s="739"/>
    </row>
    <row r="57" spans="1:21" ht="30" x14ac:dyDescent="0.25">
      <c r="A57" s="449" t="s">
        <v>1</v>
      </c>
      <c r="B57" s="449" t="s">
        <v>59</v>
      </c>
      <c r="C57" s="425" t="s">
        <v>1222</v>
      </c>
      <c r="D57" s="425" t="s">
        <v>1223</v>
      </c>
      <c r="E57" s="425" t="s">
        <v>392</v>
      </c>
      <c r="F57" s="426" t="s">
        <v>2</v>
      </c>
      <c r="G57" s="432" t="s">
        <v>1225</v>
      </c>
      <c r="H57" s="427" t="s">
        <v>1224</v>
      </c>
      <c r="I57" s="424" t="s">
        <v>681</v>
      </c>
      <c r="J57" s="424" t="s">
        <v>77</v>
      </c>
      <c r="K57" s="424" t="s">
        <v>682</v>
      </c>
      <c r="L57" s="424" t="s">
        <v>683</v>
      </c>
      <c r="M57" s="424" t="s">
        <v>87</v>
      </c>
      <c r="N57" s="424" t="s">
        <v>684</v>
      </c>
      <c r="O57" s="424" t="s">
        <v>685</v>
      </c>
      <c r="P57" s="424" t="s">
        <v>690</v>
      </c>
      <c r="Q57" s="424" t="s">
        <v>686</v>
      </c>
      <c r="R57" s="424" t="s">
        <v>687</v>
      </c>
      <c r="S57" s="424" t="s">
        <v>688</v>
      </c>
      <c r="T57" s="424" t="s">
        <v>689</v>
      </c>
      <c r="U57" s="424" t="s">
        <v>1238</v>
      </c>
    </row>
    <row r="58" spans="1:21" ht="15" customHeight="1" x14ac:dyDescent="0.25">
      <c r="A58" s="27" t="s">
        <v>1284</v>
      </c>
      <c r="B58" s="24" t="s">
        <v>115</v>
      </c>
      <c r="C58" s="430"/>
      <c r="D58" s="431"/>
      <c r="E58" s="421"/>
      <c r="F58" s="431"/>
      <c r="G58" s="421">
        <v>-8</v>
      </c>
      <c r="H58" s="28">
        <v>-12155</v>
      </c>
      <c r="I58" s="24">
        <v>-1</v>
      </c>
      <c r="J58" s="24">
        <v>-1</v>
      </c>
      <c r="K58" s="24">
        <v>-1</v>
      </c>
      <c r="L58" s="24">
        <v>-1</v>
      </c>
      <c r="M58" s="24">
        <v>-1</v>
      </c>
      <c r="N58" s="24">
        <v>-1</v>
      </c>
      <c r="O58" s="24">
        <v>-1</v>
      </c>
      <c r="P58" s="24">
        <v>-1</v>
      </c>
      <c r="Q58" s="24"/>
      <c r="R58" s="24"/>
      <c r="S58" s="24"/>
      <c r="T58" s="24"/>
      <c r="U58" s="24">
        <f t="shared" ref="U58:U60" si="17">SUM(I58:T58)</f>
        <v>-8</v>
      </c>
    </row>
    <row r="59" spans="1:21" ht="15" customHeight="1" x14ac:dyDescent="0.25">
      <c r="A59" s="27"/>
      <c r="B59" s="24"/>
      <c r="C59" s="430"/>
      <c r="D59" s="431"/>
      <c r="E59" s="421"/>
      <c r="F59" s="431"/>
      <c r="G59" s="421"/>
      <c r="H59" s="28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>
        <f t="shared" si="17"/>
        <v>0</v>
      </c>
    </row>
    <row r="60" spans="1:21" ht="15" customHeight="1" x14ac:dyDescent="0.25">
      <c r="A60" s="27"/>
      <c r="B60" s="24"/>
      <c r="C60" s="430"/>
      <c r="D60" s="431"/>
      <c r="E60" s="421"/>
      <c r="F60" s="431"/>
      <c r="G60" s="421"/>
      <c r="H60" s="28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>
        <f t="shared" si="17"/>
        <v>0</v>
      </c>
    </row>
    <row r="61" spans="1:21" ht="15" customHeight="1" x14ac:dyDescent="0.25">
      <c r="A61" s="443" t="s">
        <v>1230</v>
      </c>
      <c r="B61" s="444"/>
      <c r="C61" s="445"/>
      <c r="D61" s="446"/>
      <c r="E61" s="447"/>
      <c r="F61" s="446"/>
      <c r="G61" s="447">
        <f>SUM(G58:G60)</f>
        <v>-8</v>
      </c>
      <c r="H61" s="448">
        <f>SUM(H58:H60)</f>
        <v>-12155</v>
      </c>
      <c r="I61" s="447">
        <f t="shared" ref="I61:U61" si="18">SUM(I58:I60)</f>
        <v>-1</v>
      </c>
      <c r="J61" s="447">
        <f t="shared" si="18"/>
        <v>-1</v>
      </c>
      <c r="K61" s="447">
        <f t="shared" si="18"/>
        <v>-1</v>
      </c>
      <c r="L61" s="447">
        <f t="shared" si="18"/>
        <v>-1</v>
      </c>
      <c r="M61" s="447">
        <f t="shared" si="18"/>
        <v>-1</v>
      </c>
      <c r="N61" s="447">
        <f t="shared" si="18"/>
        <v>-1</v>
      </c>
      <c r="O61" s="447">
        <f t="shared" si="18"/>
        <v>-1</v>
      </c>
      <c r="P61" s="447">
        <f t="shared" si="18"/>
        <v>-1</v>
      </c>
      <c r="Q61" s="447">
        <f t="shared" si="18"/>
        <v>0</v>
      </c>
      <c r="R61" s="447">
        <f t="shared" si="18"/>
        <v>0</v>
      </c>
      <c r="S61" s="447">
        <f t="shared" si="18"/>
        <v>0</v>
      </c>
      <c r="T61" s="447">
        <f t="shared" si="18"/>
        <v>0</v>
      </c>
      <c r="U61" s="447">
        <f t="shared" si="18"/>
        <v>-8</v>
      </c>
    </row>
    <row r="62" spans="1:21" ht="15.75" thickBot="1" x14ac:dyDescent="0.3"/>
    <row r="63" spans="1:21" ht="15.75" thickBot="1" x14ac:dyDescent="0.3">
      <c r="A63" s="436" t="s">
        <v>1232</v>
      </c>
      <c r="B63" s="434"/>
      <c r="C63" s="434"/>
      <c r="D63" s="434"/>
      <c r="E63" s="434"/>
      <c r="F63" s="434"/>
      <c r="G63" s="437">
        <f t="shared" ref="G63:U63" si="19">G25+G37+G47+G54+G61</f>
        <v>39</v>
      </c>
      <c r="H63" s="438">
        <f t="shared" si="19"/>
        <v>60244</v>
      </c>
      <c r="I63" s="450">
        <f t="shared" si="19"/>
        <v>0</v>
      </c>
      <c r="J63" s="450">
        <f t="shared" si="19"/>
        <v>7</v>
      </c>
      <c r="K63" s="450">
        <f t="shared" si="19"/>
        <v>2</v>
      </c>
      <c r="L63" s="450">
        <f t="shared" si="19"/>
        <v>1</v>
      </c>
      <c r="M63" s="450">
        <f t="shared" si="19"/>
        <v>5</v>
      </c>
      <c r="N63" s="450">
        <f t="shared" si="19"/>
        <v>0</v>
      </c>
      <c r="O63" s="450">
        <f t="shared" si="19"/>
        <v>0</v>
      </c>
      <c r="P63" s="450">
        <f t="shared" si="19"/>
        <v>0</v>
      </c>
      <c r="Q63" s="450">
        <f t="shared" si="19"/>
        <v>2</v>
      </c>
      <c r="R63" s="450">
        <f t="shared" si="19"/>
        <v>1</v>
      </c>
      <c r="S63" s="450">
        <f t="shared" si="19"/>
        <v>4</v>
      </c>
      <c r="T63" s="450">
        <f t="shared" si="19"/>
        <v>0</v>
      </c>
      <c r="U63" s="450">
        <f t="shared" si="19"/>
        <v>20</v>
      </c>
    </row>
    <row r="64" spans="1:21" ht="15.75" thickBot="1" x14ac:dyDescent="0.3">
      <c r="A64" s="436" t="s">
        <v>64</v>
      </c>
      <c r="B64" s="434"/>
      <c r="C64" s="434"/>
      <c r="D64" s="434"/>
      <c r="E64" s="434"/>
      <c r="F64" s="434"/>
      <c r="G64" s="437"/>
      <c r="H64" s="438"/>
    </row>
    <row r="65" spans="1:8" ht="15.75" thickBot="1" x14ac:dyDescent="0.3">
      <c r="A65" s="439" t="s">
        <v>452</v>
      </c>
      <c r="B65" s="440"/>
      <c r="C65" s="440"/>
      <c r="D65" s="440"/>
      <c r="E65" s="440"/>
      <c r="F65" s="440"/>
      <c r="G65" s="441"/>
      <c r="H65" s="442">
        <f>H63-H64</f>
        <v>60244</v>
      </c>
    </row>
    <row r="67" spans="1:8" x14ac:dyDescent="0.25">
      <c r="H67" s="435">
        <f>H25+H47+H54+H61</f>
        <v>14731</v>
      </c>
    </row>
    <row r="68" spans="1:8" x14ac:dyDescent="0.25">
      <c r="H68" s="435"/>
    </row>
  </sheetData>
  <mergeCells count="8">
    <mergeCell ref="G3:H3"/>
    <mergeCell ref="A27:B27"/>
    <mergeCell ref="A39:B39"/>
    <mergeCell ref="A49:B49"/>
    <mergeCell ref="A56:B56"/>
    <mergeCell ref="A3:B3"/>
    <mergeCell ref="C3:D3"/>
    <mergeCell ref="E3:F3"/>
  </mergeCells>
  <pageMargins left="0.7" right="0.7" top="0.75" bottom="0.75" header="0.3" footer="0.3"/>
  <pageSetup scale="4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L579"/>
  <sheetViews>
    <sheetView topLeftCell="A355" zoomScaleNormal="100" workbookViewId="0">
      <selection activeCell="F347" sqref="F347"/>
    </sheetView>
  </sheetViews>
  <sheetFormatPr defaultColWidth="8.85546875" defaultRowHeight="15" x14ac:dyDescent="0.25"/>
  <cols>
    <col min="1" max="1" width="5.42578125" style="226" bestFit="1" customWidth="1"/>
    <col min="2" max="2" width="35.7109375" style="3" bestFit="1" customWidth="1"/>
    <col min="3" max="3" width="10.5703125" style="227" bestFit="1" customWidth="1"/>
    <col min="4" max="4" width="11.5703125" style="227" bestFit="1" customWidth="1"/>
    <col min="5" max="5" width="9.7109375" style="228" bestFit="1" customWidth="1"/>
    <col min="6" max="6" width="11.85546875" style="229" bestFit="1" customWidth="1"/>
    <col min="7" max="7" width="9.140625" style="230" bestFit="1" customWidth="1"/>
    <col min="8" max="8" width="19.28515625" style="229" customWidth="1"/>
    <col min="9" max="9" width="9.85546875" style="231" customWidth="1"/>
    <col min="10" max="10" width="8" style="231" bestFit="1" customWidth="1"/>
    <col min="11" max="11" width="27.7109375" style="65" customWidth="1"/>
    <col min="12" max="12" width="8.85546875" style="65"/>
    <col min="13" max="16384" width="8.85546875" style="3"/>
  </cols>
  <sheetData>
    <row r="1" spans="1:10" s="3" customFormat="1" ht="46.5" thickTop="1" x14ac:dyDescent="0.25">
      <c r="A1" s="29" t="s">
        <v>388</v>
      </c>
      <c r="B1" s="30" t="s">
        <v>389</v>
      </c>
      <c r="C1" s="31" t="s">
        <v>390</v>
      </c>
      <c r="D1" s="31" t="s">
        <v>391</v>
      </c>
      <c r="E1" s="32" t="s">
        <v>392</v>
      </c>
      <c r="F1" s="33" t="s">
        <v>393</v>
      </c>
      <c r="G1" s="34" t="s">
        <v>2</v>
      </c>
      <c r="H1" s="35" t="s">
        <v>394</v>
      </c>
      <c r="I1" s="36" t="s">
        <v>395</v>
      </c>
      <c r="J1" s="36" t="s">
        <v>396</v>
      </c>
    </row>
    <row r="2" spans="1:10" s="3" customFormat="1" ht="18" hidden="1" thickTop="1" x14ac:dyDescent="0.4">
      <c r="A2" s="37"/>
      <c r="B2" s="38" t="s">
        <v>397</v>
      </c>
      <c r="C2" s="39"/>
      <c r="D2" s="39"/>
      <c r="E2" s="40"/>
      <c r="F2" s="41"/>
      <c r="G2" s="42"/>
      <c r="H2" s="43"/>
      <c r="I2" s="44"/>
      <c r="J2" s="44"/>
    </row>
    <row r="3" spans="1:10" s="3" customFormat="1" ht="30" hidden="1" x14ac:dyDescent="0.25">
      <c r="A3" s="45"/>
      <c r="B3" s="46" t="s">
        <v>118</v>
      </c>
      <c r="C3" s="47">
        <v>41320</v>
      </c>
      <c r="D3" s="47">
        <f>C3+E3</f>
        <v>41548</v>
      </c>
      <c r="E3" s="48">
        <v>228</v>
      </c>
      <c r="F3" s="49">
        <v>4800</v>
      </c>
      <c r="G3" s="50"/>
      <c r="H3" s="51" t="s">
        <v>398</v>
      </c>
      <c r="I3" s="52"/>
      <c r="J3" s="52"/>
    </row>
    <row r="4" spans="1:10" s="3" customFormat="1" ht="30" hidden="1" x14ac:dyDescent="0.25">
      <c r="A4" s="45"/>
      <c r="B4" s="46" t="s">
        <v>399</v>
      </c>
      <c r="C4" s="47">
        <v>41508</v>
      </c>
      <c r="D4" s="47">
        <f t="shared" ref="D4:D7" si="0">C4+E4</f>
        <v>41572</v>
      </c>
      <c r="E4" s="48">
        <v>64</v>
      </c>
      <c r="F4" s="49">
        <v>800</v>
      </c>
      <c r="G4" s="50"/>
      <c r="H4" s="51" t="s">
        <v>398</v>
      </c>
      <c r="I4" s="52"/>
      <c r="J4" s="52"/>
    </row>
    <row r="5" spans="1:10" s="3" customFormat="1" ht="30" hidden="1" x14ac:dyDescent="0.25">
      <c r="A5" s="45"/>
      <c r="B5" s="46" t="s">
        <v>400</v>
      </c>
      <c r="C5" s="47">
        <v>41491</v>
      </c>
      <c r="D5" s="47">
        <f t="shared" si="0"/>
        <v>41558</v>
      </c>
      <c r="E5" s="48">
        <v>67</v>
      </c>
      <c r="F5" s="49">
        <v>4600</v>
      </c>
      <c r="G5" s="50"/>
      <c r="H5" s="51" t="s">
        <v>398</v>
      </c>
      <c r="I5" s="52"/>
      <c r="J5" s="52"/>
    </row>
    <row r="6" spans="1:10" s="3" customFormat="1" ht="45" hidden="1" x14ac:dyDescent="0.25">
      <c r="A6" s="45"/>
      <c r="B6" s="46" t="s">
        <v>401</v>
      </c>
      <c r="C6" s="47">
        <v>41562</v>
      </c>
      <c r="D6" s="47">
        <f t="shared" si="0"/>
        <v>41565</v>
      </c>
      <c r="E6" s="48">
        <v>3</v>
      </c>
      <c r="F6" s="49">
        <v>3240</v>
      </c>
      <c r="G6" s="50"/>
      <c r="H6" s="51" t="s">
        <v>402</v>
      </c>
      <c r="I6" s="52"/>
      <c r="J6" s="52"/>
    </row>
    <row r="7" spans="1:10" s="3" customFormat="1" ht="30" hidden="1" x14ac:dyDescent="0.25">
      <c r="A7" s="45"/>
      <c r="B7" s="46" t="s">
        <v>403</v>
      </c>
      <c r="C7" s="47">
        <v>41169</v>
      </c>
      <c r="D7" s="47">
        <f t="shared" si="0"/>
        <v>41570</v>
      </c>
      <c r="E7" s="48">
        <v>401</v>
      </c>
      <c r="F7" s="49">
        <v>2300</v>
      </c>
      <c r="G7" s="50"/>
      <c r="H7" s="51" t="s">
        <v>398</v>
      </c>
      <c r="I7" s="52"/>
      <c r="J7" s="52"/>
    </row>
    <row r="8" spans="1:10" s="3" customFormat="1" hidden="1" x14ac:dyDescent="0.25">
      <c r="A8" s="45"/>
      <c r="B8" s="46"/>
      <c r="C8" s="47"/>
      <c r="D8" s="47"/>
      <c r="E8" s="48"/>
      <c r="F8" s="49"/>
      <c r="G8" s="50"/>
      <c r="H8" s="51"/>
      <c r="I8" s="52"/>
      <c r="J8" s="52"/>
    </row>
    <row r="9" spans="1:10" s="3" customFormat="1" hidden="1" x14ac:dyDescent="0.25">
      <c r="A9" s="53"/>
      <c r="B9" s="54" t="s">
        <v>404</v>
      </c>
      <c r="C9" s="55"/>
      <c r="D9" s="55"/>
      <c r="E9" s="56"/>
      <c r="F9" s="57">
        <f>SUM(F3:F8)</f>
        <v>15740</v>
      </c>
      <c r="G9" s="58"/>
      <c r="H9" s="59"/>
      <c r="I9" s="60"/>
      <c r="J9" s="60"/>
    </row>
    <row r="10" spans="1:10" s="3" customFormat="1" hidden="1" x14ac:dyDescent="0.25">
      <c r="A10" s="37"/>
      <c r="B10" s="38"/>
      <c r="C10" s="55"/>
      <c r="D10" s="55"/>
      <c r="E10" s="56"/>
      <c r="F10" s="57"/>
      <c r="G10" s="58"/>
      <c r="H10" s="59"/>
      <c r="I10" s="60"/>
      <c r="J10" s="60"/>
    </row>
    <row r="11" spans="1:10" s="3" customFormat="1" hidden="1" x14ac:dyDescent="0.25">
      <c r="A11" s="37"/>
      <c r="B11" s="38" t="s">
        <v>405</v>
      </c>
      <c r="C11" s="55"/>
      <c r="D11" s="55"/>
      <c r="E11" s="56"/>
      <c r="F11" s="61"/>
      <c r="G11" s="62"/>
      <c r="H11" s="59"/>
      <c r="I11" s="60"/>
      <c r="J11" s="60"/>
    </row>
    <row r="12" spans="1:10" s="3" customFormat="1" ht="30" hidden="1" x14ac:dyDescent="0.25">
      <c r="A12" s="45"/>
      <c r="B12" s="46" t="s">
        <v>406</v>
      </c>
      <c r="C12" s="47">
        <v>41559</v>
      </c>
      <c r="D12" s="47"/>
      <c r="E12" s="48">
        <v>201</v>
      </c>
      <c r="F12" s="49">
        <v>3000</v>
      </c>
      <c r="G12" s="50"/>
      <c r="H12" s="51" t="s">
        <v>407</v>
      </c>
      <c r="I12" s="52"/>
      <c r="J12" s="52"/>
    </row>
    <row r="13" spans="1:10" s="3" customFormat="1" ht="45" hidden="1" x14ac:dyDescent="0.25">
      <c r="A13" s="45"/>
      <c r="B13" s="46" t="s">
        <v>408</v>
      </c>
      <c r="C13" s="47">
        <v>41570</v>
      </c>
      <c r="D13" s="47"/>
      <c r="E13" s="48">
        <v>5</v>
      </c>
      <c r="F13" s="49">
        <v>13860</v>
      </c>
      <c r="G13" s="50"/>
      <c r="H13" s="51" t="s">
        <v>409</v>
      </c>
      <c r="I13" s="52"/>
      <c r="J13" s="52"/>
    </row>
    <row r="14" spans="1:10" s="3" customFormat="1" ht="30" hidden="1" x14ac:dyDescent="0.25">
      <c r="A14" s="45"/>
      <c r="B14" s="46" t="s">
        <v>152</v>
      </c>
      <c r="C14" s="47">
        <v>41568</v>
      </c>
      <c r="D14" s="47"/>
      <c r="E14" s="48">
        <v>15</v>
      </c>
      <c r="F14" s="49">
        <v>2300</v>
      </c>
      <c r="G14" s="50"/>
      <c r="H14" s="51" t="s">
        <v>407</v>
      </c>
      <c r="I14" s="52"/>
      <c r="J14" s="52"/>
    </row>
    <row r="15" spans="1:10" s="3" customFormat="1" ht="45" hidden="1" x14ac:dyDescent="0.25">
      <c r="A15" s="45"/>
      <c r="B15" s="46" t="s">
        <v>410</v>
      </c>
      <c r="C15" s="47">
        <v>41592</v>
      </c>
      <c r="D15" s="47"/>
      <c r="E15" s="48">
        <v>0</v>
      </c>
      <c r="F15" s="49">
        <v>1620</v>
      </c>
      <c r="G15" s="50"/>
      <c r="H15" s="51" t="s">
        <v>409</v>
      </c>
      <c r="I15" s="52"/>
      <c r="J15" s="52"/>
    </row>
    <row r="16" spans="1:10" s="3" customFormat="1" ht="30.75" hidden="1" thickBot="1" x14ac:dyDescent="0.3">
      <c r="A16" s="45"/>
      <c r="B16" s="46" t="s">
        <v>411</v>
      </c>
      <c r="C16" s="47">
        <v>41232</v>
      </c>
      <c r="D16" s="47"/>
      <c r="E16" s="48">
        <v>99</v>
      </c>
      <c r="F16" s="49">
        <f>7560+2200</f>
        <v>9760</v>
      </c>
      <c r="G16" s="50"/>
      <c r="H16" s="51" t="s">
        <v>407</v>
      </c>
      <c r="I16" s="52"/>
      <c r="J16" s="52"/>
    </row>
    <row r="17" spans="1:12" s="64" customFormat="1" ht="30.75" hidden="1" thickBot="1" x14ac:dyDescent="0.3">
      <c r="A17" s="45"/>
      <c r="B17" s="46" t="s">
        <v>412</v>
      </c>
      <c r="C17" s="47">
        <v>41491</v>
      </c>
      <c r="D17" s="47"/>
      <c r="E17" s="48">
        <v>106</v>
      </c>
      <c r="F17" s="49">
        <v>11380</v>
      </c>
      <c r="G17" s="50"/>
      <c r="H17" s="51" t="s">
        <v>407</v>
      </c>
      <c r="I17" s="52"/>
      <c r="J17" s="52"/>
      <c r="K17" s="63"/>
      <c r="L17" s="63"/>
    </row>
    <row r="18" spans="1:12" ht="30.75" hidden="1" thickBot="1" x14ac:dyDescent="0.3">
      <c r="A18" s="45"/>
      <c r="B18" s="46" t="s">
        <v>413</v>
      </c>
      <c r="C18" s="47">
        <v>41570</v>
      </c>
      <c r="D18" s="47"/>
      <c r="E18" s="48">
        <v>33</v>
      </c>
      <c r="F18" s="49">
        <v>3900</v>
      </c>
      <c r="G18" s="50"/>
      <c r="H18" s="51" t="s">
        <v>407</v>
      </c>
      <c r="I18" s="52"/>
      <c r="J18" s="52"/>
    </row>
    <row r="19" spans="1:12" ht="30.75" hidden="1" thickBot="1" x14ac:dyDescent="0.3">
      <c r="A19" s="45"/>
      <c r="B19" s="46" t="s">
        <v>414</v>
      </c>
      <c r="C19" s="47">
        <v>41576</v>
      </c>
      <c r="D19" s="47"/>
      <c r="E19" s="48">
        <v>21</v>
      </c>
      <c r="F19" s="49">
        <v>16690</v>
      </c>
      <c r="G19" s="50"/>
      <c r="H19" s="51" t="s">
        <v>407</v>
      </c>
      <c r="I19" s="52"/>
      <c r="J19" s="52"/>
    </row>
    <row r="20" spans="1:12" ht="15.75" hidden="1" thickBot="1" x14ac:dyDescent="0.3">
      <c r="A20" s="37"/>
      <c r="B20" s="38"/>
      <c r="C20" s="55"/>
      <c r="D20" s="55"/>
      <c r="E20" s="56"/>
      <c r="F20" s="61"/>
      <c r="G20" s="62"/>
      <c r="H20" s="59"/>
      <c r="I20" s="60"/>
      <c r="J20" s="60"/>
    </row>
    <row r="21" spans="1:12" ht="15.75" hidden="1" thickBot="1" x14ac:dyDescent="0.3">
      <c r="A21" s="53"/>
      <c r="B21" s="54" t="s">
        <v>415</v>
      </c>
      <c r="C21" s="55"/>
      <c r="D21" s="55"/>
      <c r="E21" s="56"/>
      <c r="F21" s="57">
        <f>SUM(F12:F20)</f>
        <v>62510</v>
      </c>
      <c r="G21" s="58"/>
      <c r="H21" s="59"/>
      <c r="I21" s="60"/>
      <c r="J21" s="60"/>
    </row>
    <row r="22" spans="1:12" ht="15.75" hidden="1" thickBot="1" x14ac:dyDescent="0.3">
      <c r="A22" s="53"/>
      <c r="B22" s="54"/>
      <c r="C22" s="55"/>
      <c r="D22" s="55"/>
      <c r="E22" s="56"/>
      <c r="F22" s="57"/>
      <c r="G22" s="58"/>
      <c r="H22" s="59"/>
      <c r="I22" s="60"/>
      <c r="J22" s="60"/>
    </row>
    <row r="23" spans="1:12" ht="15.75" hidden="1" thickBot="1" x14ac:dyDescent="0.3">
      <c r="A23" s="37"/>
      <c r="B23" s="38" t="s">
        <v>416</v>
      </c>
      <c r="C23" s="55"/>
      <c r="D23" s="55"/>
      <c r="E23" s="56"/>
      <c r="F23" s="61"/>
      <c r="G23" s="62"/>
      <c r="H23" s="59"/>
      <c r="I23" s="60"/>
      <c r="J23" s="60"/>
    </row>
    <row r="24" spans="1:12" ht="45.75" hidden="1" thickBot="1" x14ac:dyDescent="0.3">
      <c r="A24" s="45"/>
      <c r="B24" s="46" t="s">
        <v>417</v>
      </c>
      <c r="C24" s="47">
        <v>41380</v>
      </c>
      <c r="D24" s="47"/>
      <c r="E24" s="48">
        <v>185</v>
      </c>
      <c r="F24" s="66">
        <v>16875</v>
      </c>
      <c r="G24" s="50"/>
      <c r="H24" s="51" t="s">
        <v>418</v>
      </c>
      <c r="I24" s="52"/>
      <c r="J24" s="52"/>
    </row>
    <row r="25" spans="1:12" s="64" customFormat="1" ht="15.75" hidden="1" thickBot="1" x14ac:dyDescent="0.3">
      <c r="A25" s="45"/>
      <c r="B25" s="46" t="s">
        <v>419</v>
      </c>
      <c r="C25" s="47">
        <v>41142</v>
      </c>
      <c r="D25" s="47"/>
      <c r="E25" s="48">
        <v>486</v>
      </c>
      <c r="F25" s="66">
        <v>35955</v>
      </c>
      <c r="G25" s="50"/>
      <c r="H25" s="51" t="s">
        <v>420</v>
      </c>
      <c r="I25" s="52"/>
      <c r="J25" s="52"/>
      <c r="K25" s="63"/>
      <c r="L25" s="63"/>
    </row>
    <row r="26" spans="1:12" s="64" customFormat="1" ht="15.75" hidden="1" thickBot="1" x14ac:dyDescent="0.3">
      <c r="A26" s="45"/>
      <c r="B26" s="46" t="s">
        <v>421</v>
      </c>
      <c r="C26" s="47">
        <v>41564</v>
      </c>
      <c r="D26" s="47"/>
      <c r="E26" s="48">
        <v>63</v>
      </c>
      <c r="F26" s="66">
        <v>9400</v>
      </c>
      <c r="G26" s="50"/>
      <c r="H26" s="51" t="s">
        <v>420</v>
      </c>
      <c r="I26" s="52"/>
      <c r="J26" s="52"/>
      <c r="K26" s="63"/>
      <c r="L26" s="63"/>
    </row>
    <row r="27" spans="1:12" s="64" customFormat="1" ht="15.75" hidden="1" thickBot="1" x14ac:dyDescent="0.3">
      <c r="A27" s="45"/>
      <c r="B27" s="46" t="s">
        <v>422</v>
      </c>
      <c r="C27" s="47">
        <v>41432</v>
      </c>
      <c r="D27" s="47"/>
      <c r="E27" s="48">
        <v>199</v>
      </c>
      <c r="F27" s="67">
        <v>7100</v>
      </c>
      <c r="G27" s="50"/>
      <c r="H27" s="51" t="s">
        <v>420</v>
      </c>
      <c r="I27" s="52"/>
      <c r="J27" s="52"/>
      <c r="K27" s="63"/>
      <c r="L27" s="63"/>
    </row>
    <row r="28" spans="1:12" s="64" customFormat="1" ht="15.75" hidden="1" thickBot="1" x14ac:dyDescent="0.3">
      <c r="A28" s="45"/>
      <c r="B28" s="46" t="s">
        <v>423</v>
      </c>
      <c r="C28" s="47">
        <v>41512</v>
      </c>
      <c r="D28" s="47"/>
      <c r="E28" s="48">
        <v>119</v>
      </c>
      <c r="F28" s="66">
        <v>20800</v>
      </c>
      <c r="G28" s="50"/>
      <c r="H28" s="51" t="s">
        <v>420</v>
      </c>
      <c r="I28" s="52"/>
      <c r="J28" s="52"/>
      <c r="K28" s="63"/>
      <c r="L28" s="63"/>
    </row>
    <row r="29" spans="1:12" s="64" customFormat="1" ht="15.75" hidden="1" thickBot="1" x14ac:dyDescent="0.3">
      <c r="A29" s="45"/>
      <c r="B29" s="46" t="s">
        <v>424</v>
      </c>
      <c r="C29" s="47">
        <v>41562</v>
      </c>
      <c r="D29" s="47"/>
      <c r="E29" s="48">
        <v>69</v>
      </c>
      <c r="F29" s="66">
        <v>800</v>
      </c>
      <c r="G29" s="50"/>
      <c r="H29" s="51" t="s">
        <v>420</v>
      </c>
      <c r="I29" s="52"/>
      <c r="J29" s="52"/>
      <c r="K29" s="63"/>
      <c r="L29" s="63"/>
    </row>
    <row r="30" spans="1:12" s="64" customFormat="1" ht="15.75" hidden="1" thickBot="1" x14ac:dyDescent="0.3">
      <c r="A30" s="45"/>
      <c r="B30" s="46" t="s">
        <v>425</v>
      </c>
      <c r="C30" s="47">
        <v>41551</v>
      </c>
      <c r="D30" s="47"/>
      <c r="E30" s="48">
        <v>80</v>
      </c>
      <c r="F30" s="66">
        <v>13140</v>
      </c>
      <c r="G30" s="50"/>
      <c r="H30" s="51" t="s">
        <v>420</v>
      </c>
      <c r="I30" s="52"/>
      <c r="J30" s="52"/>
      <c r="K30" s="63"/>
      <c r="L30" s="63"/>
    </row>
    <row r="31" spans="1:12" s="64" customFormat="1" ht="15.75" hidden="1" thickBot="1" x14ac:dyDescent="0.3">
      <c r="A31" s="45"/>
      <c r="B31" s="46" t="s">
        <v>353</v>
      </c>
      <c r="C31" s="47">
        <v>41562</v>
      </c>
      <c r="D31" s="47"/>
      <c r="E31" s="48">
        <v>73</v>
      </c>
      <c r="F31" s="66">
        <v>3000</v>
      </c>
      <c r="G31" s="50"/>
      <c r="H31" s="51" t="s">
        <v>420</v>
      </c>
      <c r="I31" s="52"/>
      <c r="J31" s="52"/>
      <c r="K31" s="63"/>
      <c r="L31" s="63"/>
    </row>
    <row r="32" spans="1:12" s="64" customFormat="1" ht="15.75" hidden="1" thickBot="1" x14ac:dyDescent="0.3">
      <c r="A32" s="45"/>
      <c r="B32" s="46" t="s">
        <v>426</v>
      </c>
      <c r="C32" s="47">
        <v>41550</v>
      </c>
      <c r="D32" s="47"/>
      <c r="E32" s="48">
        <v>85</v>
      </c>
      <c r="F32" s="66">
        <v>7960</v>
      </c>
      <c r="G32" s="50"/>
      <c r="H32" s="51" t="s">
        <v>420</v>
      </c>
      <c r="I32" s="52"/>
      <c r="J32" s="52"/>
      <c r="K32" s="63"/>
      <c r="L32" s="63"/>
    </row>
    <row r="33" spans="1:12" s="64" customFormat="1" ht="15.75" hidden="1" thickBot="1" x14ac:dyDescent="0.3">
      <c r="A33" s="45"/>
      <c r="B33" s="46" t="s">
        <v>427</v>
      </c>
      <c r="C33" s="47">
        <v>41584</v>
      </c>
      <c r="D33" s="47"/>
      <c r="E33" s="48">
        <v>55</v>
      </c>
      <c r="F33" s="66">
        <v>9765</v>
      </c>
      <c r="G33" s="50"/>
      <c r="H33" s="51" t="s">
        <v>420</v>
      </c>
      <c r="I33" s="52"/>
      <c r="J33" s="52"/>
      <c r="K33" s="63"/>
      <c r="L33" s="63"/>
    </row>
    <row r="34" spans="1:12" s="64" customFormat="1" ht="15.75" hidden="1" thickBot="1" x14ac:dyDescent="0.3">
      <c r="A34" s="45"/>
      <c r="B34" s="46" t="s">
        <v>428</v>
      </c>
      <c r="C34" s="47">
        <v>41557</v>
      </c>
      <c r="D34" s="47"/>
      <c r="E34" s="48">
        <v>82</v>
      </c>
      <c r="F34" s="66">
        <v>10620</v>
      </c>
      <c r="G34" s="50"/>
      <c r="H34" s="51" t="s">
        <v>420</v>
      </c>
      <c r="I34" s="52"/>
      <c r="J34" s="52"/>
      <c r="K34" s="63"/>
      <c r="L34" s="63"/>
    </row>
    <row r="35" spans="1:12" s="64" customFormat="1" ht="15.75" hidden="1" thickBot="1" x14ac:dyDescent="0.3">
      <c r="A35" s="45"/>
      <c r="B35" s="46"/>
      <c r="C35" s="47"/>
      <c r="D35" s="47"/>
      <c r="E35" s="48"/>
      <c r="F35" s="49"/>
      <c r="G35" s="50"/>
      <c r="H35" s="51"/>
      <c r="I35" s="52"/>
      <c r="J35" s="52"/>
      <c r="K35" s="63"/>
      <c r="L35" s="63"/>
    </row>
    <row r="36" spans="1:12" s="64" customFormat="1" ht="15.75" hidden="1" thickBot="1" x14ac:dyDescent="0.3">
      <c r="A36" s="45"/>
      <c r="B36" s="46"/>
      <c r="C36" s="47"/>
      <c r="D36" s="47"/>
      <c r="E36" s="48"/>
      <c r="F36" s="49"/>
      <c r="G36" s="50"/>
      <c r="H36" s="51"/>
      <c r="I36" s="52"/>
      <c r="J36" s="52"/>
      <c r="K36" s="63"/>
      <c r="L36" s="63"/>
    </row>
    <row r="37" spans="1:12" s="64" customFormat="1" ht="15.75" hidden="1" thickBot="1" x14ac:dyDescent="0.3">
      <c r="A37" s="45"/>
      <c r="B37" s="46"/>
      <c r="C37" s="47"/>
      <c r="D37" s="47"/>
      <c r="E37" s="48"/>
      <c r="F37" s="49"/>
      <c r="G37" s="50"/>
      <c r="H37" s="51"/>
      <c r="I37" s="52"/>
      <c r="J37" s="52"/>
      <c r="K37" s="63"/>
      <c r="L37" s="63"/>
    </row>
    <row r="38" spans="1:12" ht="15.75" hidden="1" thickBot="1" x14ac:dyDescent="0.3">
      <c r="A38" s="53"/>
      <c r="B38" s="54" t="s">
        <v>429</v>
      </c>
      <c r="C38" s="55"/>
      <c r="D38" s="55"/>
      <c r="E38" s="56"/>
      <c r="F38" s="57">
        <f>SUM(F24:F37)</f>
        <v>135415</v>
      </c>
      <c r="G38" s="58"/>
      <c r="H38" s="59"/>
      <c r="I38" s="60"/>
      <c r="J38" s="60"/>
    </row>
    <row r="39" spans="1:12" ht="15.75" hidden="1" thickBot="1" x14ac:dyDescent="0.3">
      <c r="A39" s="37"/>
      <c r="B39" s="38"/>
      <c r="C39" s="55"/>
      <c r="D39" s="55"/>
      <c r="E39" s="56"/>
      <c r="F39" s="68"/>
      <c r="G39" s="69"/>
      <c r="H39" s="59"/>
      <c r="I39" s="60"/>
      <c r="J39" s="60"/>
    </row>
    <row r="40" spans="1:12" ht="15.75" hidden="1" thickBot="1" x14ac:dyDescent="0.3">
      <c r="A40" s="37"/>
      <c r="B40" s="38" t="s">
        <v>430</v>
      </c>
      <c r="C40" s="55"/>
      <c r="D40" s="55"/>
      <c r="E40" s="56"/>
      <c r="F40" s="70">
        <f>F9+F21+F38</f>
        <v>213665</v>
      </c>
      <c r="G40" s="69"/>
      <c r="H40" s="59"/>
      <c r="I40" s="60"/>
      <c r="J40" s="60"/>
    </row>
    <row r="41" spans="1:12" ht="15.75" hidden="1" thickBot="1" x14ac:dyDescent="0.3">
      <c r="A41" s="71"/>
      <c r="B41" s="72"/>
      <c r="C41" s="73"/>
      <c r="D41" s="73"/>
      <c r="E41" s="74"/>
      <c r="F41" s="75"/>
      <c r="G41" s="76"/>
      <c r="H41" s="77"/>
      <c r="I41" s="60"/>
      <c r="J41" s="60"/>
    </row>
    <row r="42" spans="1:12" ht="15.75" hidden="1" thickTop="1" x14ac:dyDescent="0.25">
      <c r="A42" s="78"/>
      <c r="B42" s="79"/>
      <c r="C42" s="80"/>
      <c r="D42" s="80"/>
      <c r="E42" s="81"/>
      <c r="F42" s="82"/>
      <c r="G42" s="83"/>
      <c r="H42" s="84"/>
      <c r="I42" s="85"/>
      <c r="J42" s="85"/>
    </row>
    <row r="43" spans="1:12" ht="15.75" x14ac:dyDescent="0.3">
      <c r="A43" s="86"/>
      <c r="B43" s="87" t="s">
        <v>431</v>
      </c>
      <c r="C43" s="88"/>
      <c r="D43" s="88"/>
      <c r="E43" s="89"/>
      <c r="F43" s="90"/>
      <c r="G43" s="91"/>
      <c r="H43" s="92"/>
      <c r="I43" s="93"/>
      <c r="J43" s="93"/>
    </row>
    <row r="44" spans="1:12" s="101" customFormat="1" x14ac:dyDescent="0.25">
      <c r="A44" s="53" t="s">
        <v>61</v>
      </c>
      <c r="B44" s="54" t="s">
        <v>161</v>
      </c>
      <c r="C44" s="94">
        <v>41529</v>
      </c>
      <c r="D44" s="94">
        <f>C44+E44</f>
        <v>41618</v>
      </c>
      <c r="E44" s="95">
        <v>89</v>
      </c>
      <c r="F44" s="96">
        <v>12330</v>
      </c>
      <c r="G44" s="97">
        <v>41640</v>
      </c>
      <c r="H44" s="98" t="s">
        <v>432</v>
      </c>
      <c r="I44" s="99"/>
      <c r="J44" s="99"/>
      <c r="K44" s="100"/>
      <c r="L44" s="100"/>
    </row>
    <row r="45" spans="1:12" s="101" customFormat="1" x14ac:dyDescent="0.25">
      <c r="A45" s="53" t="s">
        <v>115</v>
      </c>
      <c r="B45" s="54" t="s">
        <v>433</v>
      </c>
      <c r="C45" s="94">
        <v>41555</v>
      </c>
      <c r="D45" s="94">
        <f t="shared" ref="D45:D54" si="1">C45+E45</f>
        <v>41619</v>
      </c>
      <c r="E45" s="95">
        <v>64</v>
      </c>
      <c r="F45" s="96">
        <v>1800</v>
      </c>
      <c r="G45" s="97">
        <v>41640</v>
      </c>
      <c r="H45" s="102" t="s">
        <v>434</v>
      </c>
      <c r="I45" s="99">
        <v>1</v>
      </c>
      <c r="J45" s="99"/>
      <c r="K45" s="100"/>
      <c r="L45" s="100"/>
    </row>
    <row r="46" spans="1:12" s="101" customFormat="1" x14ac:dyDescent="0.25">
      <c r="A46" s="53" t="s">
        <v>61</v>
      </c>
      <c r="B46" s="54" t="s">
        <v>435</v>
      </c>
      <c r="C46" s="94">
        <v>41348</v>
      </c>
      <c r="D46" s="94">
        <f t="shared" si="1"/>
        <v>41640</v>
      </c>
      <c r="E46" s="95">
        <v>292</v>
      </c>
      <c r="F46" s="96">
        <v>8820</v>
      </c>
      <c r="G46" s="97">
        <v>41640</v>
      </c>
      <c r="H46" s="98" t="s">
        <v>432</v>
      </c>
      <c r="I46" s="103"/>
      <c r="J46" s="103"/>
      <c r="K46" s="100"/>
      <c r="L46" s="100"/>
    </row>
    <row r="47" spans="1:12" s="101" customFormat="1" x14ac:dyDescent="0.25">
      <c r="A47" s="53" t="s">
        <v>61</v>
      </c>
      <c r="B47" s="54" t="s">
        <v>436</v>
      </c>
      <c r="C47" s="94">
        <v>41604</v>
      </c>
      <c r="D47" s="94">
        <f t="shared" si="1"/>
        <v>41605</v>
      </c>
      <c r="E47" s="95">
        <v>1</v>
      </c>
      <c r="F47" s="96">
        <v>1620</v>
      </c>
      <c r="G47" s="97">
        <v>41640</v>
      </c>
      <c r="H47" s="102" t="s">
        <v>437</v>
      </c>
      <c r="I47" s="99">
        <v>1</v>
      </c>
      <c r="J47" s="99"/>
      <c r="K47" s="100"/>
      <c r="L47" s="100"/>
    </row>
    <row r="48" spans="1:12" s="101" customFormat="1" x14ac:dyDescent="0.25">
      <c r="A48" s="53" t="s">
        <v>61</v>
      </c>
      <c r="B48" s="54" t="s">
        <v>438</v>
      </c>
      <c r="C48" s="94">
        <v>41578</v>
      </c>
      <c r="D48" s="94">
        <f t="shared" si="1"/>
        <v>41592</v>
      </c>
      <c r="E48" s="95">
        <v>14</v>
      </c>
      <c r="F48" s="96">
        <v>4100</v>
      </c>
      <c r="G48" s="97">
        <v>41640</v>
      </c>
      <c r="H48" s="102" t="s">
        <v>439</v>
      </c>
      <c r="I48" s="99">
        <v>2</v>
      </c>
      <c r="J48" s="99"/>
      <c r="K48" s="100"/>
      <c r="L48" s="100"/>
    </row>
    <row r="49" spans="1:12" s="101" customFormat="1" x14ac:dyDescent="0.25">
      <c r="A49" s="53" t="s">
        <v>60</v>
      </c>
      <c r="B49" s="54" t="s">
        <v>440</v>
      </c>
      <c r="C49" s="94">
        <v>41638</v>
      </c>
      <c r="D49" s="94">
        <f t="shared" si="1"/>
        <v>41645</v>
      </c>
      <c r="E49" s="95">
        <v>7</v>
      </c>
      <c r="F49" s="96">
        <v>4650</v>
      </c>
      <c r="G49" s="97">
        <v>41640</v>
      </c>
      <c r="H49" s="98" t="s">
        <v>432</v>
      </c>
      <c r="I49" s="103"/>
      <c r="J49" s="103"/>
      <c r="K49" s="100"/>
      <c r="L49" s="100"/>
    </row>
    <row r="50" spans="1:12" s="101" customFormat="1" x14ac:dyDescent="0.25">
      <c r="A50" s="53" t="s">
        <v>60</v>
      </c>
      <c r="B50" s="54" t="s">
        <v>441</v>
      </c>
      <c r="C50" s="94">
        <v>41646</v>
      </c>
      <c r="D50" s="94">
        <f t="shared" si="1"/>
        <v>41648</v>
      </c>
      <c r="E50" s="95">
        <v>2</v>
      </c>
      <c r="F50" s="96">
        <v>16678.599999999999</v>
      </c>
      <c r="G50" s="97">
        <v>41640</v>
      </c>
      <c r="H50" s="102" t="s">
        <v>442</v>
      </c>
      <c r="I50" s="99">
        <v>2</v>
      </c>
      <c r="J50" s="99"/>
      <c r="K50" s="100"/>
      <c r="L50" s="100"/>
    </row>
    <row r="51" spans="1:12" s="101" customFormat="1" x14ac:dyDescent="0.25">
      <c r="A51" s="53" t="s">
        <v>60</v>
      </c>
      <c r="B51" s="54" t="s">
        <v>443</v>
      </c>
      <c r="C51" s="94">
        <v>41620</v>
      </c>
      <c r="D51" s="94">
        <f t="shared" si="1"/>
        <v>41648</v>
      </c>
      <c r="E51" s="95">
        <v>28</v>
      </c>
      <c r="F51" s="96">
        <v>1620</v>
      </c>
      <c r="G51" s="97">
        <v>41640</v>
      </c>
      <c r="H51" s="102" t="s">
        <v>437</v>
      </c>
      <c r="I51" s="99">
        <v>1</v>
      </c>
      <c r="J51" s="99"/>
      <c r="K51" s="100"/>
      <c r="L51" s="100"/>
    </row>
    <row r="52" spans="1:12" s="101" customFormat="1" x14ac:dyDescent="0.25">
      <c r="A52" s="53" t="s">
        <v>60</v>
      </c>
      <c r="B52" s="54" t="s">
        <v>444</v>
      </c>
      <c r="C52" s="94">
        <v>41590</v>
      </c>
      <c r="D52" s="94">
        <f t="shared" si="1"/>
        <v>41648</v>
      </c>
      <c r="E52" s="95">
        <v>58</v>
      </c>
      <c r="F52" s="96">
        <v>12060</v>
      </c>
      <c r="G52" s="97">
        <v>41640</v>
      </c>
      <c r="H52" s="98" t="s">
        <v>432</v>
      </c>
      <c r="I52" s="103"/>
      <c r="J52" s="103"/>
      <c r="K52" s="100"/>
      <c r="L52" s="100"/>
    </row>
    <row r="53" spans="1:12" s="101" customFormat="1" x14ac:dyDescent="0.25">
      <c r="A53" s="53" t="s">
        <v>60</v>
      </c>
      <c r="B53" s="54" t="s">
        <v>445</v>
      </c>
      <c r="C53" s="94">
        <v>41593</v>
      </c>
      <c r="D53" s="94">
        <f t="shared" si="1"/>
        <v>41649</v>
      </c>
      <c r="E53" s="95">
        <v>56</v>
      </c>
      <c r="F53" s="96">
        <v>13140</v>
      </c>
      <c r="G53" s="97">
        <v>41649</v>
      </c>
      <c r="H53" s="98" t="s">
        <v>432</v>
      </c>
      <c r="I53" s="103"/>
      <c r="J53" s="103"/>
      <c r="K53" s="100"/>
      <c r="L53" s="100"/>
    </row>
    <row r="54" spans="1:12" s="101" customFormat="1" ht="30" x14ac:dyDescent="0.25">
      <c r="A54" s="53" t="s">
        <v>60</v>
      </c>
      <c r="B54" s="54" t="s">
        <v>446</v>
      </c>
      <c r="C54" s="94">
        <v>41571</v>
      </c>
      <c r="D54" s="94">
        <f t="shared" si="1"/>
        <v>41655</v>
      </c>
      <c r="E54" s="95">
        <v>84</v>
      </c>
      <c r="F54" s="96">
        <v>3100</v>
      </c>
      <c r="G54" s="97">
        <v>41640</v>
      </c>
      <c r="H54" s="102" t="s">
        <v>447</v>
      </c>
      <c r="I54" s="104">
        <v>2</v>
      </c>
      <c r="J54" s="104"/>
      <c r="K54" s="100"/>
      <c r="L54" s="100"/>
    </row>
    <row r="55" spans="1:12" x14ac:dyDescent="0.25">
      <c r="A55" s="53" t="s">
        <v>60</v>
      </c>
      <c r="B55" s="54" t="s">
        <v>448</v>
      </c>
      <c r="C55" s="94">
        <v>41648</v>
      </c>
      <c r="D55" s="105">
        <v>41680</v>
      </c>
      <c r="E55" s="95">
        <v>32</v>
      </c>
      <c r="F55" s="96">
        <v>8686</v>
      </c>
      <c r="G55" s="97">
        <v>41670</v>
      </c>
      <c r="H55" s="106" t="s">
        <v>449</v>
      </c>
      <c r="I55" s="107">
        <v>1</v>
      </c>
      <c r="J55" s="107"/>
    </row>
    <row r="56" spans="1:12" x14ac:dyDescent="0.25">
      <c r="A56" s="37"/>
      <c r="B56" s="38"/>
      <c r="C56" s="55"/>
      <c r="D56" s="55"/>
      <c r="E56" s="56"/>
      <c r="F56" s="70"/>
      <c r="G56" s="69"/>
      <c r="H56" s="68"/>
      <c r="I56" s="108"/>
      <c r="J56" s="108"/>
    </row>
    <row r="57" spans="1:12" x14ac:dyDescent="0.25">
      <c r="A57" s="37"/>
      <c r="B57" s="38" t="s">
        <v>450</v>
      </c>
      <c r="C57" s="55"/>
      <c r="D57" s="55"/>
      <c r="E57" s="56"/>
      <c r="F57" s="109">
        <f>SUM(F44:F56)</f>
        <v>88604.6</v>
      </c>
      <c r="G57" s="58"/>
      <c r="H57" s="68"/>
      <c r="I57" s="108"/>
      <c r="J57" s="108"/>
    </row>
    <row r="58" spans="1:12" x14ac:dyDescent="0.25">
      <c r="A58" s="37"/>
      <c r="B58" s="38" t="s">
        <v>451</v>
      </c>
      <c r="C58" s="55"/>
      <c r="D58" s="55"/>
      <c r="E58" s="56"/>
      <c r="F58" s="109">
        <v>117300</v>
      </c>
      <c r="G58" s="58"/>
      <c r="H58" s="68"/>
      <c r="I58" s="108"/>
      <c r="J58" s="108"/>
    </row>
    <row r="59" spans="1:12" ht="15.75" x14ac:dyDescent="0.3">
      <c r="A59" s="110"/>
      <c r="B59" s="111" t="s">
        <v>452</v>
      </c>
      <c r="C59" s="55"/>
      <c r="D59" s="55"/>
      <c r="E59" s="56"/>
      <c r="F59" s="112">
        <f>F57-F58</f>
        <v>-28695.399999999994</v>
      </c>
      <c r="G59" s="69"/>
      <c r="H59" s="68"/>
      <c r="I59" s="108"/>
      <c r="J59" s="108"/>
    </row>
    <row r="60" spans="1:12" x14ac:dyDescent="0.25">
      <c r="A60" s="37"/>
      <c r="B60" s="38"/>
      <c r="C60" s="55"/>
      <c r="D60" s="55"/>
      <c r="E60" s="56"/>
      <c r="F60" s="68"/>
      <c r="G60" s="69"/>
      <c r="H60" s="68"/>
      <c r="I60" s="108"/>
      <c r="J60" s="108"/>
    </row>
    <row r="61" spans="1:12" x14ac:dyDescent="0.25">
      <c r="A61" s="37"/>
      <c r="B61" s="38" t="s">
        <v>453</v>
      </c>
      <c r="C61" s="55"/>
      <c r="D61" s="55"/>
      <c r="E61" s="56">
        <f>AVERAGE(E3:E60)</f>
        <v>96.277777777777771</v>
      </c>
      <c r="F61" s="68"/>
      <c r="G61" s="69"/>
      <c r="H61" s="68"/>
      <c r="I61" s="108"/>
      <c r="J61" s="108"/>
    </row>
    <row r="62" spans="1:12" ht="30" x14ac:dyDescent="0.25">
      <c r="A62" s="37"/>
      <c r="B62" s="38" t="s">
        <v>454</v>
      </c>
      <c r="C62" s="55"/>
      <c r="D62" s="55"/>
      <c r="E62" s="56">
        <f>AVERAGE(E3,E4,E5,E7,E12,E14,E24,E16,E17,E18,E19,E25,E26,E27,E28,E29,E30,E31,E32,E33,E34,E44,E46,E49,E52,E53)</f>
        <v>124.34615384615384</v>
      </c>
      <c r="F62" s="113"/>
      <c r="G62" s="69"/>
      <c r="H62" s="68"/>
      <c r="I62" s="108"/>
      <c r="J62" s="108"/>
    </row>
    <row r="63" spans="1:12" x14ac:dyDescent="0.25">
      <c r="A63" s="37"/>
      <c r="B63" s="38"/>
      <c r="C63" s="55"/>
      <c r="D63" s="55"/>
      <c r="E63" s="56"/>
      <c r="F63" s="68"/>
      <c r="G63" s="69"/>
      <c r="H63" s="68"/>
      <c r="I63" s="108"/>
      <c r="J63" s="108"/>
    </row>
    <row r="64" spans="1:12" ht="15.75" x14ac:dyDescent="0.3">
      <c r="A64" s="86"/>
      <c r="B64" s="87" t="s">
        <v>455</v>
      </c>
      <c r="C64" s="88"/>
      <c r="D64" s="88"/>
      <c r="E64" s="89"/>
      <c r="F64" s="90"/>
      <c r="G64" s="91"/>
      <c r="H64" s="114"/>
      <c r="I64" s="115"/>
      <c r="J64" s="115"/>
    </row>
    <row r="65" spans="1:12" s="101" customFormat="1" x14ac:dyDescent="0.25">
      <c r="A65" s="53" t="s">
        <v>61</v>
      </c>
      <c r="B65" s="54" t="s">
        <v>163</v>
      </c>
      <c r="C65" s="94">
        <v>41551</v>
      </c>
      <c r="D65" s="94">
        <v>41680</v>
      </c>
      <c r="E65" s="95">
        <f>D65-C65</f>
        <v>129</v>
      </c>
      <c r="F65" s="96">
        <v>7700</v>
      </c>
      <c r="G65" s="97">
        <v>41671</v>
      </c>
      <c r="H65" s="116" t="s">
        <v>432</v>
      </c>
      <c r="I65" s="117"/>
      <c r="J65" s="117"/>
      <c r="K65" s="100"/>
      <c r="L65" s="100"/>
    </row>
    <row r="66" spans="1:12" s="101" customFormat="1" x14ac:dyDescent="0.25">
      <c r="A66" s="53" t="s">
        <v>115</v>
      </c>
      <c r="B66" s="54" t="s">
        <v>302</v>
      </c>
      <c r="C66" s="94">
        <v>41614</v>
      </c>
      <c r="D66" s="94">
        <f t="shared" ref="D66" si="2">C66+E66</f>
        <v>41625</v>
      </c>
      <c r="E66" s="95">
        <v>11</v>
      </c>
      <c r="F66" s="96">
        <v>2300</v>
      </c>
      <c r="G66" s="97">
        <v>41671</v>
      </c>
      <c r="H66" s="102" t="s">
        <v>456</v>
      </c>
      <c r="I66" s="99">
        <v>1</v>
      </c>
      <c r="J66" s="99"/>
      <c r="K66" s="100"/>
      <c r="L66" s="100"/>
    </row>
    <row r="67" spans="1:12" ht="29.25" customHeight="1" x14ac:dyDescent="0.25">
      <c r="A67" s="53" t="s">
        <v>115</v>
      </c>
      <c r="B67" s="54" t="s">
        <v>457</v>
      </c>
      <c r="C67" s="94">
        <v>41687</v>
      </c>
      <c r="D67" s="105">
        <v>41697</v>
      </c>
      <c r="E67" s="95">
        <f>D67-C67</f>
        <v>10</v>
      </c>
      <c r="F67" s="96">
        <v>2000</v>
      </c>
      <c r="G67" s="97">
        <v>41640</v>
      </c>
      <c r="H67" s="106" t="s">
        <v>456</v>
      </c>
      <c r="I67" s="107">
        <v>1</v>
      </c>
      <c r="J67" s="107"/>
    </row>
    <row r="68" spans="1:12" s="101" customFormat="1" x14ac:dyDescent="0.25">
      <c r="A68" s="53" t="s">
        <v>115</v>
      </c>
      <c r="B68" s="54" t="s">
        <v>458</v>
      </c>
      <c r="C68" s="94">
        <v>41652</v>
      </c>
      <c r="D68" s="105">
        <v>41680</v>
      </c>
      <c r="E68" s="95">
        <f t="shared" ref="E68:E74" si="3">D68-C68</f>
        <v>28</v>
      </c>
      <c r="F68" s="96">
        <v>2200</v>
      </c>
      <c r="G68" s="97">
        <v>41680</v>
      </c>
      <c r="H68" s="106" t="s">
        <v>459</v>
      </c>
      <c r="I68" s="118"/>
      <c r="J68" s="118"/>
      <c r="K68" s="100"/>
      <c r="L68" s="100"/>
    </row>
    <row r="69" spans="1:12" s="101" customFormat="1" x14ac:dyDescent="0.25">
      <c r="A69" s="53" t="s">
        <v>115</v>
      </c>
      <c r="B69" s="54" t="s">
        <v>26</v>
      </c>
      <c r="C69" s="94">
        <v>41676</v>
      </c>
      <c r="D69" s="105">
        <v>41684</v>
      </c>
      <c r="E69" s="95">
        <f t="shared" si="3"/>
        <v>8</v>
      </c>
      <c r="F69" s="96">
        <v>2300</v>
      </c>
      <c r="G69" s="97">
        <v>41684</v>
      </c>
      <c r="H69" s="106" t="s">
        <v>460</v>
      </c>
      <c r="I69" s="118">
        <v>1</v>
      </c>
      <c r="J69" s="118"/>
      <c r="K69" s="100"/>
      <c r="L69" s="100"/>
    </row>
    <row r="70" spans="1:12" s="101" customFormat="1" ht="15.75" customHeight="1" x14ac:dyDescent="0.25">
      <c r="A70" s="53" t="s">
        <v>115</v>
      </c>
      <c r="B70" s="54" t="s">
        <v>461</v>
      </c>
      <c r="C70" s="94">
        <v>41572</v>
      </c>
      <c r="D70" s="105">
        <v>41690</v>
      </c>
      <c r="E70" s="95">
        <f t="shared" si="3"/>
        <v>118</v>
      </c>
      <c r="F70" s="96">
        <v>10000</v>
      </c>
      <c r="G70" s="97">
        <v>41698</v>
      </c>
      <c r="H70" s="116" t="s">
        <v>432</v>
      </c>
      <c r="I70" s="119"/>
      <c r="J70" s="119"/>
      <c r="K70" s="100"/>
      <c r="L70" s="100"/>
    </row>
    <row r="71" spans="1:12" s="101" customFormat="1" x14ac:dyDescent="0.25">
      <c r="A71" s="53" t="s">
        <v>115</v>
      </c>
      <c r="B71" s="54" t="s">
        <v>26</v>
      </c>
      <c r="C71" s="94">
        <v>41689</v>
      </c>
      <c r="D71" s="105">
        <v>41694</v>
      </c>
      <c r="E71" s="95">
        <f t="shared" si="3"/>
        <v>5</v>
      </c>
      <c r="F71" s="96">
        <v>2300</v>
      </c>
      <c r="G71" s="97">
        <v>41694</v>
      </c>
      <c r="H71" s="106" t="s">
        <v>462</v>
      </c>
      <c r="I71" s="118">
        <v>1</v>
      </c>
      <c r="J71" s="118"/>
      <c r="K71" s="100"/>
      <c r="L71" s="100"/>
    </row>
    <row r="72" spans="1:12" x14ac:dyDescent="0.25">
      <c r="A72" s="53" t="s">
        <v>61</v>
      </c>
      <c r="B72" s="54" t="s">
        <v>463</v>
      </c>
      <c r="C72" s="94">
        <v>41626</v>
      </c>
      <c r="D72" s="105">
        <v>41682</v>
      </c>
      <c r="E72" s="95">
        <v>55</v>
      </c>
      <c r="F72" s="96">
        <v>800</v>
      </c>
      <c r="G72" s="97">
        <v>41640</v>
      </c>
      <c r="H72" s="106" t="s">
        <v>449</v>
      </c>
      <c r="I72" s="107">
        <v>1</v>
      </c>
      <c r="J72" s="107"/>
    </row>
    <row r="73" spans="1:12" s="101" customFormat="1" x14ac:dyDescent="0.25">
      <c r="A73" s="53" t="s">
        <v>115</v>
      </c>
      <c r="B73" s="54" t="s">
        <v>464</v>
      </c>
      <c r="C73" s="94">
        <v>41695</v>
      </c>
      <c r="D73" s="105">
        <v>41697</v>
      </c>
      <c r="E73" s="95">
        <f t="shared" si="3"/>
        <v>2</v>
      </c>
      <c r="F73" s="96">
        <v>2340</v>
      </c>
      <c r="G73" s="97">
        <v>41697</v>
      </c>
      <c r="H73" s="106" t="s">
        <v>465</v>
      </c>
      <c r="I73" s="118">
        <v>2</v>
      </c>
      <c r="J73" s="118"/>
      <c r="K73" s="100"/>
      <c r="L73" s="100"/>
    </row>
    <row r="74" spans="1:12" x14ac:dyDescent="0.25">
      <c r="A74" s="53" t="s">
        <v>115</v>
      </c>
      <c r="B74" s="54" t="s">
        <v>35</v>
      </c>
      <c r="C74" s="94">
        <v>41674</v>
      </c>
      <c r="D74" s="105">
        <v>41704</v>
      </c>
      <c r="E74" s="95">
        <f t="shared" si="3"/>
        <v>30</v>
      </c>
      <c r="F74" s="96">
        <v>1620</v>
      </c>
      <c r="G74" s="97">
        <v>41671</v>
      </c>
      <c r="H74" s="106" t="s">
        <v>466</v>
      </c>
      <c r="I74" s="118">
        <v>1</v>
      </c>
      <c r="J74" s="118"/>
    </row>
    <row r="75" spans="1:12" x14ac:dyDescent="0.25">
      <c r="A75" s="53"/>
      <c r="B75" s="54"/>
      <c r="C75" s="94"/>
      <c r="D75" s="94"/>
      <c r="E75" s="95"/>
      <c r="F75" s="49"/>
      <c r="G75" s="50"/>
      <c r="H75" s="120"/>
      <c r="I75" s="121"/>
      <c r="J75" s="121"/>
    </row>
    <row r="76" spans="1:12" x14ac:dyDescent="0.25">
      <c r="A76" s="53"/>
      <c r="B76" s="54"/>
      <c r="C76" s="94"/>
      <c r="D76" s="94"/>
      <c r="E76" s="95"/>
      <c r="F76" s="70"/>
      <c r="G76" s="69"/>
      <c r="H76" s="68"/>
      <c r="I76" s="122"/>
      <c r="J76" s="122"/>
    </row>
    <row r="77" spans="1:12" x14ac:dyDescent="0.25">
      <c r="A77" s="37"/>
      <c r="B77" s="38" t="s">
        <v>467</v>
      </c>
      <c r="C77" s="55"/>
      <c r="D77" s="55"/>
      <c r="E77" s="56"/>
      <c r="F77" s="109">
        <f>SUM(F65:F76)</f>
        <v>33560</v>
      </c>
      <c r="G77" s="58"/>
      <c r="H77" s="68"/>
      <c r="I77" s="122"/>
      <c r="J77" s="122"/>
    </row>
    <row r="78" spans="1:12" x14ac:dyDescent="0.25">
      <c r="A78" s="37"/>
      <c r="B78" s="38" t="s">
        <v>451</v>
      </c>
      <c r="C78" s="55"/>
      <c r="D78" s="55"/>
      <c r="E78" s="56"/>
      <c r="F78" s="109">
        <v>27000</v>
      </c>
      <c r="G78" s="58"/>
      <c r="H78" s="68"/>
      <c r="I78" s="122"/>
      <c r="J78" s="122"/>
    </row>
    <row r="79" spans="1:12" x14ac:dyDescent="0.25">
      <c r="A79" s="123"/>
      <c r="B79" s="124" t="s">
        <v>452</v>
      </c>
      <c r="C79" s="55"/>
      <c r="D79" s="55"/>
      <c r="E79" s="56"/>
      <c r="F79" s="125">
        <f>F77-F78</f>
        <v>6560</v>
      </c>
      <c r="G79" s="69"/>
      <c r="H79" s="68"/>
      <c r="I79" s="122"/>
      <c r="J79" s="122"/>
    </row>
    <row r="80" spans="1:12" x14ac:dyDescent="0.25">
      <c r="A80" s="37"/>
      <c r="B80" s="38" t="s">
        <v>468</v>
      </c>
      <c r="C80" s="55"/>
      <c r="D80" s="55"/>
      <c r="E80" s="56"/>
      <c r="F80" s="126">
        <f>F57+F77</f>
        <v>122164.6</v>
      </c>
      <c r="G80" s="69"/>
      <c r="H80" s="68"/>
      <c r="I80" s="122"/>
      <c r="J80" s="122"/>
    </row>
    <row r="81" spans="1:12" x14ac:dyDescent="0.25">
      <c r="A81" s="37"/>
      <c r="B81" s="38" t="s">
        <v>469</v>
      </c>
      <c r="C81" s="55"/>
      <c r="D81" s="55"/>
      <c r="E81" s="56"/>
      <c r="F81" s="126">
        <f>F58+F78</f>
        <v>144300</v>
      </c>
      <c r="G81" s="69"/>
      <c r="H81" s="68"/>
      <c r="I81" s="122"/>
      <c r="J81" s="122"/>
    </row>
    <row r="82" spans="1:12" ht="15.75" x14ac:dyDescent="0.3">
      <c r="A82" s="127"/>
      <c r="B82" s="128" t="s">
        <v>470</v>
      </c>
      <c r="C82" s="55"/>
      <c r="D82" s="55"/>
      <c r="E82" s="56"/>
      <c r="F82" s="112">
        <f>F80-F81</f>
        <v>-22135.399999999994</v>
      </c>
      <c r="G82" s="69"/>
      <c r="H82" s="68"/>
      <c r="I82" s="122"/>
      <c r="J82" s="122"/>
    </row>
    <row r="83" spans="1:12" x14ac:dyDescent="0.25">
      <c r="A83" s="37"/>
      <c r="B83" s="38"/>
      <c r="C83" s="55"/>
      <c r="D83" s="55"/>
      <c r="E83" s="56"/>
      <c r="F83" s="68"/>
      <c r="G83" s="69"/>
      <c r="H83" s="68"/>
      <c r="I83" s="122"/>
      <c r="J83" s="122"/>
    </row>
    <row r="84" spans="1:12" x14ac:dyDescent="0.25">
      <c r="A84" s="37"/>
      <c r="B84" s="38" t="s">
        <v>453</v>
      </c>
      <c r="C84" s="55"/>
      <c r="D84" s="55"/>
      <c r="E84" s="56">
        <f>AVERAGE(E24:E34,E44:E72,E64:E76)</f>
        <v>74.502882130789104</v>
      </c>
      <c r="F84" s="68"/>
      <c r="G84" s="69"/>
      <c r="H84" s="68"/>
      <c r="I84" s="122"/>
      <c r="J84" s="122"/>
    </row>
    <row r="85" spans="1:12" ht="30" x14ac:dyDescent="0.25">
      <c r="A85" s="37"/>
      <c r="B85" s="38" t="s">
        <v>454</v>
      </c>
      <c r="C85" s="55"/>
      <c r="D85" s="55"/>
      <c r="E85" s="56">
        <f>AVERAGE(E65,E70,E53,E49,E46,E44)</f>
        <v>115.16666666666667</v>
      </c>
      <c r="F85" s="113"/>
      <c r="G85" s="69"/>
      <c r="H85" s="68"/>
      <c r="I85" s="122"/>
      <c r="J85" s="122"/>
    </row>
    <row r="86" spans="1:12" x14ac:dyDescent="0.25">
      <c r="A86" s="37"/>
      <c r="B86" s="38"/>
      <c r="C86" s="55"/>
      <c r="D86" s="55"/>
      <c r="E86" s="56"/>
      <c r="F86" s="68"/>
      <c r="G86" s="69"/>
      <c r="H86" s="68"/>
      <c r="I86" s="108"/>
      <c r="J86" s="108"/>
    </row>
    <row r="87" spans="1:12" ht="15.75" x14ac:dyDescent="0.3">
      <c r="A87" s="86"/>
      <c r="B87" s="87" t="s">
        <v>471</v>
      </c>
      <c r="C87" s="88"/>
      <c r="D87" s="88"/>
      <c r="E87" s="89"/>
      <c r="F87" s="90"/>
      <c r="G87" s="91"/>
      <c r="H87" s="114"/>
      <c r="I87" s="129"/>
      <c r="J87" s="129"/>
    </row>
    <row r="88" spans="1:12" s="101" customFormat="1" x14ac:dyDescent="0.25">
      <c r="A88" s="53" t="s">
        <v>60</v>
      </c>
      <c r="B88" s="54" t="s">
        <v>220</v>
      </c>
      <c r="C88" s="94">
        <v>41586</v>
      </c>
      <c r="D88" s="105">
        <v>41690</v>
      </c>
      <c r="E88" s="95">
        <f>D88-C88</f>
        <v>104</v>
      </c>
      <c r="F88" s="96">
        <v>3900</v>
      </c>
      <c r="G88" s="97">
        <v>41699</v>
      </c>
      <c r="H88" s="116" t="s">
        <v>472</v>
      </c>
      <c r="I88" s="119"/>
      <c r="J88" s="119"/>
      <c r="K88" s="100"/>
      <c r="L88" s="100"/>
    </row>
    <row r="89" spans="1:12" s="101" customFormat="1" x14ac:dyDescent="0.25">
      <c r="A89" s="53" t="s">
        <v>61</v>
      </c>
      <c r="B89" s="54" t="s">
        <v>176</v>
      </c>
      <c r="C89" s="94">
        <v>41600</v>
      </c>
      <c r="D89" s="105">
        <v>41704</v>
      </c>
      <c r="E89" s="95">
        <f>D89-C89</f>
        <v>104</v>
      </c>
      <c r="F89" s="96">
        <v>3100</v>
      </c>
      <c r="G89" s="97">
        <v>41699</v>
      </c>
      <c r="H89" s="116" t="s">
        <v>473</v>
      </c>
      <c r="I89" s="119"/>
      <c r="J89" s="119"/>
      <c r="K89" s="100"/>
      <c r="L89" s="100"/>
    </row>
    <row r="90" spans="1:12" s="101" customFormat="1" x14ac:dyDescent="0.25">
      <c r="A90" s="53" t="s">
        <v>115</v>
      </c>
      <c r="B90" s="54" t="s">
        <v>474</v>
      </c>
      <c r="C90" s="94">
        <v>41705</v>
      </c>
      <c r="D90" s="105">
        <v>41722</v>
      </c>
      <c r="E90" s="95">
        <f t="shared" ref="E90:E91" si="4">D90-C90</f>
        <v>17</v>
      </c>
      <c r="F90" s="96">
        <v>2070</v>
      </c>
      <c r="G90" s="97">
        <v>41722</v>
      </c>
      <c r="H90" s="106" t="s">
        <v>475</v>
      </c>
      <c r="I90" s="118">
        <v>1</v>
      </c>
      <c r="J90" s="118"/>
      <c r="K90" s="100"/>
      <c r="L90" s="100"/>
    </row>
    <row r="91" spans="1:12" s="101" customFormat="1" x14ac:dyDescent="0.25">
      <c r="A91" s="53" t="s">
        <v>61</v>
      </c>
      <c r="B91" s="54" t="s">
        <v>476</v>
      </c>
      <c r="C91" s="94">
        <v>41561</v>
      </c>
      <c r="D91" s="105">
        <v>41732</v>
      </c>
      <c r="E91" s="95">
        <f t="shared" si="4"/>
        <v>171</v>
      </c>
      <c r="F91" s="96">
        <v>8600</v>
      </c>
      <c r="G91" s="97">
        <v>41722</v>
      </c>
      <c r="H91" s="116" t="s">
        <v>432</v>
      </c>
      <c r="I91" s="119"/>
      <c r="J91" s="119"/>
      <c r="K91" s="100"/>
      <c r="L91" s="100"/>
    </row>
    <row r="92" spans="1:12" ht="17.25" customHeight="1" x14ac:dyDescent="0.25">
      <c r="A92" s="53" t="s">
        <v>115</v>
      </c>
      <c r="B92" s="54" t="s">
        <v>477</v>
      </c>
      <c r="C92" s="94">
        <v>41675</v>
      </c>
      <c r="D92" s="105">
        <v>41704</v>
      </c>
      <c r="E92" s="95">
        <f>D92-C92</f>
        <v>29</v>
      </c>
      <c r="F92" s="96">
        <v>7719</v>
      </c>
      <c r="G92" s="97">
        <v>41640</v>
      </c>
      <c r="H92" s="106" t="s">
        <v>478</v>
      </c>
      <c r="I92" s="107">
        <v>2</v>
      </c>
      <c r="J92" s="107"/>
    </row>
    <row r="93" spans="1:12" x14ac:dyDescent="0.25">
      <c r="A93" s="53" t="s">
        <v>115</v>
      </c>
      <c r="B93" s="54" t="s">
        <v>479</v>
      </c>
      <c r="C93" s="94">
        <v>41675</v>
      </c>
      <c r="D93" s="105">
        <v>41704</v>
      </c>
      <c r="E93" s="95">
        <f>D93-C93</f>
        <v>29</v>
      </c>
      <c r="F93" s="96">
        <v>2200</v>
      </c>
      <c r="G93" s="97">
        <v>41640</v>
      </c>
      <c r="H93" s="106" t="s">
        <v>480</v>
      </c>
      <c r="I93" s="107"/>
      <c r="J93" s="107"/>
    </row>
    <row r="94" spans="1:12" s="101" customFormat="1" x14ac:dyDescent="0.25">
      <c r="A94" s="53"/>
      <c r="B94" s="54"/>
      <c r="C94" s="94"/>
      <c r="D94" s="94"/>
      <c r="E94" s="95"/>
      <c r="F94" s="96"/>
      <c r="G94" s="97"/>
      <c r="H94" s="106"/>
      <c r="I94" s="118"/>
      <c r="J94" s="118"/>
      <c r="K94" s="100"/>
      <c r="L94" s="100"/>
    </row>
    <row r="95" spans="1:12" x14ac:dyDescent="0.25">
      <c r="A95" s="37"/>
      <c r="B95" s="38" t="s">
        <v>481</v>
      </c>
      <c r="C95" s="55"/>
      <c r="D95" s="55"/>
      <c r="E95" s="56"/>
      <c r="F95" s="109">
        <f>SUM(F88:F94)</f>
        <v>27589</v>
      </c>
      <c r="G95" s="58"/>
      <c r="H95" s="68"/>
      <c r="I95" s="122"/>
      <c r="J95" s="122"/>
    </row>
    <row r="96" spans="1:12" x14ac:dyDescent="0.25">
      <c r="A96" s="37"/>
      <c r="B96" s="38" t="s">
        <v>451</v>
      </c>
      <c r="C96" s="55"/>
      <c r="D96" s="55"/>
      <c r="E96" s="56"/>
      <c r="F96" s="109">
        <v>46250</v>
      </c>
      <c r="G96" s="58"/>
      <c r="H96" s="68"/>
      <c r="I96" s="108"/>
      <c r="J96" s="108"/>
    </row>
    <row r="97" spans="1:12" x14ac:dyDescent="0.25">
      <c r="A97" s="123"/>
      <c r="B97" s="124" t="s">
        <v>452</v>
      </c>
      <c r="C97" s="55"/>
      <c r="D97" s="55"/>
      <c r="E97" s="56"/>
      <c r="F97" s="125">
        <f>F95-F96</f>
        <v>-18661</v>
      </c>
      <c r="G97" s="69"/>
      <c r="H97" s="68"/>
      <c r="I97" s="122"/>
      <c r="J97" s="122"/>
    </row>
    <row r="98" spans="1:12" x14ac:dyDescent="0.25">
      <c r="A98" s="37"/>
      <c r="B98" s="38" t="s">
        <v>468</v>
      </c>
      <c r="C98" s="55"/>
      <c r="D98" s="55"/>
      <c r="E98" s="56"/>
      <c r="F98" s="126">
        <f>F80+F95</f>
        <v>149753.60000000001</v>
      </c>
      <c r="G98" s="69"/>
      <c r="H98" s="68"/>
      <c r="I98" s="122"/>
      <c r="J98" s="122"/>
    </row>
    <row r="99" spans="1:12" x14ac:dyDescent="0.25">
      <c r="A99" s="37"/>
      <c r="B99" s="38" t="s">
        <v>469</v>
      </c>
      <c r="C99" s="55"/>
      <c r="D99" s="55"/>
      <c r="E99" s="56"/>
      <c r="F99" s="126">
        <f>F81+F96</f>
        <v>190550</v>
      </c>
      <c r="G99" s="69"/>
      <c r="H99" s="68"/>
      <c r="I99" s="122"/>
      <c r="J99" s="122"/>
    </row>
    <row r="100" spans="1:12" ht="15.75" x14ac:dyDescent="0.3">
      <c r="A100" s="127"/>
      <c r="B100" s="128" t="s">
        <v>470</v>
      </c>
      <c r="C100" s="55"/>
      <c r="D100" s="55"/>
      <c r="E100" s="56"/>
      <c r="F100" s="112">
        <f>F98-F99</f>
        <v>-40796.399999999994</v>
      </c>
      <c r="G100" s="69"/>
      <c r="H100" s="68"/>
      <c r="I100" s="122"/>
      <c r="J100" s="122"/>
    </row>
    <row r="101" spans="1:12" x14ac:dyDescent="0.25">
      <c r="A101" s="37"/>
      <c r="B101" s="38"/>
      <c r="C101" s="55"/>
      <c r="D101" s="55"/>
      <c r="E101" s="56"/>
      <c r="F101" s="68"/>
      <c r="G101" s="69"/>
      <c r="H101" s="68"/>
      <c r="I101" s="122"/>
      <c r="J101" s="122"/>
    </row>
    <row r="102" spans="1:12" x14ac:dyDescent="0.25">
      <c r="A102" s="37"/>
      <c r="B102" s="38" t="s">
        <v>453</v>
      </c>
      <c r="C102" s="55"/>
      <c r="D102" s="55"/>
      <c r="E102" s="56">
        <f>AVERAGE(E87:E94,E64:E76,E44:E56)</f>
        <v>56.321428571428569</v>
      </c>
      <c r="F102" s="68"/>
      <c r="G102" s="69"/>
      <c r="H102" s="68"/>
      <c r="I102" s="122"/>
      <c r="J102" s="122"/>
    </row>
    <row r="103" spans="1:12" ht="30" x14ac:dyDescent="0.25">
      <c r="A103" s="37"/>
      <c r="B103" s="38" t="s">
        <v>454</v>
      </c>
      <c r="C103" s="55"/>
      <c r="D103" s="55"/>
      <c r="E103" s="56">
        <f>AVERAGE(E109,E91,E89,E88,E65,E70,E53,E52,E49,E46)</f>
        <v>110.3</v>
      </c>
      <c r="F103" s="113"/>
      <c r="G103" s="69"/>
      <c r="H103" s="68"/>
      <c r="I103" s="122"/>
      <c r="J103" s="122"/>
    </row>
    <row r="104" spans="1:12" x14ac:dyDescent="0.25">
      <c r="A104" s="37"/>
      <c r="B104" s="38"/>
      <c r="C104" s="55"/>
      <c r="D104" s="55"/>
      <c r="E104" s="56"/>
      <c r="F104" s="68"/>
      <c r="G104" s="69"/>
      <c r="H104" s="68"/>
      <c r="I104" s="130"/>
      <c r="J104" s="130"/>
    </row>
    <row r="105" spans="1:12" ht="15.75" x14ac:dyDescent="0.3">
      <c r="A105" s="86"/>
      <c r="B105" s="87" t="s">
        <v>482</v>
      </c>
      <c r="C105" s="88"/>
      <c r="D105" s="88"/>
      <c r="E105" s="89"/>
      <c r="F105" s="90"/>
      <c r="G105" s="91"/>
      <c r="H105" s="114"/>
      <c r="I105" s="131"/>
      <c r="J105" s="131"/>
    </row>
    <row r="106" spans="1:12" s="101" customFormat="1" x14ac:dyDescent="0.25">
      <c r="A106" s="53" t="s">
        <v>61</v>
      </c>
      <c r="B106" s="54" t="s">
        <v>483</v>
      </c>
      <c r="C106" s="94">
        <v>41631</v>
      </c>
      <c r="D106" s="94">
        <v>41732</v>
      </c>
      <c r="E106" s="95">
        <f>D106-C106</f>
        <v>101</v>
      </c>
      <c r="F106" s="96">
        <v>9950</v>
      </c>
      <c r="G106" s="97">
        <v>41732</v>
      </c>
      <c r="H106" s="116" t="s">
        <v>432</v>
      </c>
      <c r="I106" s="132"/>
      <c r="J106" s="132"/>
      <c r="K106" s="100"/>
      <c r="L106" s="100"/>
    </row>
    <row r="107" spans="1:12" s="101" customFormat="1" x14ac:dyDescent="0.25">
      <c r="A107" s="53" t="s">
        <v>115</v>
      </c>
      <c r="B107" s="54" t="s">
        <v>484</v>
      </c>
      <c r="C107" s="94">
        <v>41753</v>
      </c>
      <c r="D107" s="94">
        <v>41759</v>
      </c>
      <c r="E107" s="95">
        <f>D107-C107</f>
        <v>6</v>
      </c>
      <c r="F107" s="96">
        <v>1620</v>
      </c>
      <c r="G107" s="97">
        <v>41759</v>
      </c>
      <c r="H107" s="106" t="s">
        <v>437</v>
      </c>
      <c r="I107" s="99">
        <v>1</v>
      </c>
      <c r="J107" s="99"/>
      <c r="K107" s="100"/>
      <c r="L107" s="100"/>
    </row>
    <row r="108" spans="1:12" s="101" customFormat="1" x14ac:dyDescent="0.25">
      <c r="A108" s="53" t="s">
        <v>115</v>
      </c>
      <c r="B108" s="54" t="s">
        <v>444</v>
      </c>
      <c r="C108" s="94">
        <v>41722</v>
      </c>
      <c r="D108" s="105">
        <v>41764</v>
      </c>
      <c r="E108" s="95">
        <f>D108-C108</f>
        <v>42</v>
      </c>
      <c r="F108" s="96">
        <v>4140</v>
      </c>
      <c r="G108" s="97">
        <v>41730</v>
      </c>
      <c r="H108" s="106" t="s">
        <v>442</v>
      </c>
      <c r="I108" s="104">
        <v>2</v>
      </c>
      <c r="J108" s="104"/>
      <c r="K108" s="100"/>
      <c r="L108" s="100"/>
    </row>
    <row r="109" spans="1:12" s="101" customFormat="1" x14ac:dyDescent="0.25">
      <c r="A109" s="53" t="s">
        <v>61</v>
      </c>
      <c r="B109" s="54" t="s">
        <v>485</v>
      </c>
      <c r="C109" s="94">
        <v>41668</v>
      </c>
      <c r="D109" s="105">
        <v>41732</v>
      </c>
      <c r="E109" s="95">
        <f>D109-C109</f>
        <v>64</v>
      </c>
      <c r="F109" s="96">
        <v>8700</v>
      </c>
      <c r="G109" s="97">
        <v>41729</v>
      </c>
      <c r="H109" s="116" t="s">
        <v>432</v>
      </c>
      <c r="I109" s="119"/>
      <c r="J109" s="119"/>
      <c r="K109" s="100"/>
      <c r="L109" s="100"/>
    </row>
    <row r="110" spans="1:12" x14ac:dyDescent="0.25">
      <c r="A110" s="37"/>
      <c r="B110" s="38"/>
      <c r="C110" s="55"/>
      <c r="D110" s="55"/>
      <c r="E110" s="95"/>
      <c r="F110" s="70"/>
      <c r="G110" s="69"/>
      <c r="H110" s="68"/>
      <c r="I110" s="133"/>
      <c r="J110" s="133"/>
    </row>
    <row r="111" spans="1:12" x14ac:dyDescent="0.25">
      <c r="A111" s="37"/>
      <c r="B111" s="38" t="s">
        <v>486</v>
      </c>
      <c r="C111" s="55"/>
      <c r="D111" s="55"/>
      <c r="E111" s="56"/>
      <c r="F111" s="109">
        <f>SUM(F106:F110)</f>
        <v>24410</v>
      </c>
      <c r="G111" s="58"/>
      <c r="H111" s="68"/>
      <c r="I111" s="133"/>
      <c r="J111" s="133"/>
    </row>
    <row r="112" spans="1:12" x14ac:dyDescent="0.25">
      <c r="A112" s="37"/>
      <c r="B112" s="38" t="s">
        <v>451</v>
      </c>
      <c r="C112" s="55"/>
      <c r="D112" s="55"/>
      <c r="E112" s="56"/>
      <c r="F112" s="109">
        <v>58650</v>
      </c>
      <c r="G112" s="58"/>
      <c r="H112" s="68"/>
      <c r="I112" s="133"/>
      <c r="J112" s="133"/>
    </row>
    <row r="113" spans="1:12" x14ac:dyDescent="0.25">
      <c r="A113" s="123"/>
      <c r="B113" s="124" t="s">
        <v>452</v>
      </c>
      <c r="C113" s="55"/>
      <c r="D113" s="55"/>
      <c r="E113" s="56"/>
      <c r="F113" s="125">
        <f>F111-F112</f>
        <v>-34240</v>
      </c>
      <c r="G113" s="69"/>
      <c r="H113" s="68"/>
      <c r="I113" s="133"/>
      <c r="J113" s="133"/>
    </row>
    <row r="114" spans="1:12" x14ac:dyDescent="0.25">
      <c r="A114" s="37"/>
      <c r="B114" s="38" t="s">
        <v>468</v>
      </c>
      <c r="C114" s="55"/>
      <c r="D114" s="55"/>
      <c r="E114" s="56"/>
      <c r="F114" s="126">
        <f>F98+F111</f>
        <v>174163.6</v>
      </c>
      <c r="G114" s="69"/>
      <c r="H114" s="68"/>
      <c r="I114" s="133"/>
      <c r="J114" s="133"/>
    </row>
    <row r="115" spans="1:12" x14ac:dyDescent="0.25">
      <c r="A115" s="37"/>
      <c r="B115" s="38" t="s">
        <v>469</v>
      </c>
      <c r="C115" s="55"/>
      <c r="D115" s="55"/>
      <c r="E115" s="56"/>
      <c r="F115" s="126">
        <f>F99+F112</f>
        <v>249200</v>
      </c>
      <c r="G115" s="69"/>
      <c r="H115" s="68"/>
      <c r="I115" s="133"/>
      <c r="J115" s="133"/>
    </row>
    <row r="116" spans="1:12" ht="15.75" x14ac:dyDescent="0.3">
      <c r="A116" s="127"/>
      <c r="B116" s="128" t="s">
        <v>470</v>
      </c>
      <c r="C116" s="55"/>
      <c r="D116" s="55"/>
      <c r="E116" s="56"/>
      <c r="F116" s="112">
        <f>F114-F115</f>
        <v>-75036.399999999994</v>
      </c>
      <c r="G116" s="69"/>
      <c r="H116" s="68"/>
      <c r="I116" s="133"/>
      <c r="J116" s="133"/>
    </row>
    <row r="117" spans="1:12" x14ac:dyDescent="0.25">
      <c r="A117" s="37"/>
      <c r="B117" s="38"/>
      <c r="C117" s="55"/>
      <c r="D117" s="55"/>
      <c r="E117" s="56"/>
      <c r="F117" s="68"/>
      <c r="G117" s="69"/>
      <c r="H117" s="68"/>
      <c r="I117" s="133"/>
      <c r="J117" s="133"/>
    </row>
    <row r="118" spans="1:12" x14ac:dyDescent="0.25">
      <c r="A118" s="37"/>
      <c r="B118" s="38" t="s">
        <v>453</v>
      </c>
      <c r="C118" s="55"/>
      <c r="D118" s="55"/>
      <c r="E118" s="56">
        <f>AVERAGE(E105:E108,E87:E109,E64:E74)</f>
        <v>55.144857142857148</v>
      </c>
      <c r="F118" s="68"/>
      <c r="G118" s="69"/>
      <c r="H118" s="68"/>
      <c r="I118" s="133"/>
      <c r="J118" s="133"/>
    </row>
    <row r="119" spans="1:12" ht="30" x14ac:dyDescent="0.25">
      <c r="A119" s="37"/>
      <c r="B119" s="38" t="s">
        <v>487</v>
      </c>
      <c r="C119" s="55"/>
      <c r="D119" s="55"/>
      <c r="E119" s="56">
        <f>AVERAGE(E106,E109,E91,E89,E88,E70,E65)</f>
        <v>113</v>
      </c>
      <c r="F119" s="113"/>
      <c r="G119" s="69"/>
      <c r="H119" s="68"/>
      <c r="I119" s="133"/>
      <c r="J119" s="133"/>
    </row>
    <row r="120" spans="1:12" x14ac:dyDescent="0.25">
      <c r="A120" s="37"/>
      <c r="B120" s="38"/>
      <c r="C120" s="55"/>
      <c r="D120" s="55"/>
      <c r="E120" s="56"/>
      <c r="F120" s="68"/>
      <c r="G120" s="69"/>
      <c r="H120" s="68"/>
      <c r="I120" s="133"/>
      <c r="J120" s="133"/>
    </row>
    <row r="121" spans="1:12" ht="15.75" x14ac:dyDescent="0.3">
      <c r="A121" s="86"/>
      <c r="B121" s="87" t="s">
        <v>488</v>
      </c>
      <c r="C121" s="88"/>
      <c r="D121" s="88"/>
      <c r="E121" s="89"/>
      <c r="F121" s="90"/>
      <c r="G121" s="91"/>
      <c r="H121" s="114"/>
      <c r="I121" s="134"/>
      <c r="J121" s="134"/>
    </row>
    <row r="122" spans="1:12" s="101" customFormat="1" ht="30" x14ac:dyDescent="0.25">
      <c r="A122" s="53" t="s">
        <v>115</v>
      </c>
      <c r="B122" s="54" t="s">
        <v>489</v>
      </c>
      <c r="C122" s="94">
        <v>41721</v>
      </c>
      <c r="D122" s="94">
        <v>41773</v>
      </c>
      <c r="E122" s="95">
        <f>D122-C122</f>
        <v>52</v>
      </c>
      <c r="F122" s="96">
        <v>1440</v>
      </c>
      <c r="G122" s="97">
        <v>41764</v>
      </c>
      <c r="H122" s="106" t="s">
        <v>442</v>
      </c>
      <c r="I122" s="99">
        <v>2</v>
      </c>
      <c r="J122" s="107"/>
      <c r="K122" s="135"/>
      <c r="L122" s="100"/>
    </row>
    <row r="123" spans="1:12" s="101" customFormat="1" ht="26.25" x14ac:dyDescent="0.25">
      <c r="A123" s="53" t="s">
        <v>60</v>
      </c>
      <c r="B123" s="136" t="s">
        <v>490</v>
      </c>
      <c r="C123" s="94">
        <v>41549</v>
      </c>
      <c r="D123" s="94">
        <v>41773</v>
      </c>
      <c r="E123" s="95">
        <f>D123-C123</f>
        <v>224</v>
      </c>
      <c r="F123" s="96">
        <v>800</v>
      </c>
      <c r="G123" s="97">
        <v>41773</v>
      </c>
      <c r="H123" s="116" t="s">
        <v>432</v>
      </c>
      <c r="I123" s="117"/>
      <c r="J123" s="117"/>
      <c r="K123" s="100"/>
      <c r="L123" s="100"/>
    </row>
    <row r="124" spans="1:12" s="101" customFormat="1" x14ac:dyDescent="0.25">
      <c r="A124" s="53" t="s">
        <v>60</v>
      </c>
      <c r="B124" s="54" t="s">
        <v>354</v>
      </c>
      <c r="C124" s="94">
        <v>41575</v>
      </c>
      <c r="D124" s="105">
        <v>41786</v>
      </c>
      <c r="E124" s="95">
        <f>D124-C124</f>
        <v>211</v>
      </c>
      <c r="F124" s="96">
        <v>3100</v>
      </c>
      <c r="G124" s="97">
        <v>41786</v>
      </c>
      <c r="H124" s="116" t="s">
        <v>491</v>
      </c>
      <c r="I124" s="119"/>
      <c r="J124" s="119"/>
      <c r="K124" s="100"/>
      <c r="L124" s="100"/>
    </row>
    <row r="125" spans="1:12" s="101" customFormat="1" x14ac:dyDescent="0.25">
      <c r="A125" s="137" t="s">
        <v>60</v>
      </c>
      <c r="B125" s="138" t="s">
        <v>492</v>
      </c>
      <c r="C125" s="94">
        <v>41488</v>
      </c>
      <c r="D125" s="94">
        <v>41788</v>
      </c>
      <c r="E125" s="95">
        <f>D125-C125</f>
        <v>300</v>
      </c>
      <c r="F125" s="96">
        <v>4600</v>
      </c>
      <c r="G125" s="97">
        <v>41779</v>
      </c>
      <c r="H125" s="116" t="s">
        <v>491</v>
      </c>
      <c r="I125" s="119"/>
      <c r="J125" s="119"/>
      <c r="K125" s="100"/>
      <c r="L125" s="100"/>
    </row>
    <row r="126" spans="1:12" x14ac:dyDescent="0.25">
      <c r="A126" s="45"/>
      <c r="B126" s="46"/>
      <c r="C126" s="47"/>
      <c r="D126" s="47"/>
      <c r="E126" s="95"/>
      <c r="F126" s="66"/>
      <c r="G126" s="50"/>
      <c r="H126" s="120"/>
      <c r="I126" s="121"/>
      <c r="J126" s="121"/>
    </row>
    <row r="127" spans="1:12" x14ac:dyDescent="0.25">
      <c r="A127" s="37"/>
      <c r="B127" s="38" t="s">
        <v>493</v>
      </c>
      <c r="C127" s="55"/>
      <c r="D127" s="55"/>
      <c r="E127" s="56"/>
      <c r="F127" s="109">
        <f>SUM(F122:F126)</f>
        <v>9940</v>
      </c>
      <c r="G127" s="58"/>
      <c r="H127" s="68"/>
      <c r="I127" s="122"/>
      <c r="J127" s="122"/>
    </row>
    <row r="128" spans="1:12" x14ac:dyDescent="0.25">
      <c r="A128" s="37"/>
      <c r="B128" s="38" t="s">
        <v>451</v>
      </c>
      <c r="C128" s="55"/>
      <c r="D128" s="55"/>
      <c r="E128" s="56"/>
      <c r="F128" s="109">
        <v>58650</v>
      </c>
      <c r="G128" s="58"/>
      <c r="H128" s="68"/>
      <c r="I128" s="122"/>
      <c r="J128" s="122"/>
    </row>
    <row r="129" spans="1:12" x14ac:dyDescent="0.25">
      <c r="A129" s="123"/>
      <c r="B129" s="124" t="s">
        <v>452</v>
      </c>
      <c r="C129" s="55"/>
      <c r="D129" s="55"/>
      <c r="E129" s="56"/>
      <c r="F129" s="125">
        <f>F127-F128</f>
        <v>-48710</v>
      </c>
      <c r="G129" s="69"/>
      <c r="H129" s="68"/>
      <c r="I129" s="122"/>
      <c r="J129" s="122"/>
    </row>
    <row r="130" spans="1:12" x14ac:dyDescent="0.25">
      <c r="A130" s="37"/>
      <c r="B130" s="38" t="s">
        <v>468</v>
      </c>
      <c r="C130" s="55"/>
      <c r="D130" s="55"/>
      <c r="E130" s="56"/>
      <c r="F130" s="126">
        <f>F114+F127</f>
        <v>184103.6</v>
      </c>
      <c r="G130" s="69"/>
      <c r="H130" s="68"/>
      <c r="I130" s="122"/>
      <c r="J130" s="122"/>
    </row>
    <row r="131" spans="1:12" x14ac:dyDescent="0.25">
      <c r="A131" s="37"/>
      <c r="B131" s="38" t="s">
        <v>469</v>
      </c>
      <c r="C131" s="55"/>
      <c r="D131" s="55"/>
      <c r="E131" s="56"/>
      <c r="F131" s="126">
        <f>F115+F128</f>
        <v>307850</v>
      </c>
      <c r="G131" s="69"/>
      <c r="H131" s="68"/>
      <c r="I131" s="122"/>
      <c r="J131" s="122"/>
    </row>
    <row r="132" spans="1:12" x14ac:dyDescent="0.25">
      <c r="A132" s="139"/>
      <c r="B132" s="140" t="s">
        <v>470</v>
      </c>
      <c r="C132" s="55"/>
      <c r="D132" s="55"/>
      <c r="E132" s="56"/>
      <c r="F132" s="125">
        <f>F130-F131</f>
        <v>-123746.4</v>
      </c>
      <c r="G132" s="69"/>
      <c r="H132" s="68"/>
      <c r="I132" s="130"/>
      <c r="J132" s="130"/>
    </row>
    <row r="133" spans="1:12" x14ac:dyDescent="0.25">
      <c r="A133" s="37"/>
      <c r="B133" s="38"/>
      <c r="C133" s="55"/>
      <c r="D133" s="55"/>
      <c r="E133" s="56"/>
      <c r="F133" s="68"/>
      <c r="G133" s="69"/>
      <c r="H133" s="68"/>
      <c r="I133" s="122"/>
      <c r="J133" s="122"/>
    </row>
    <row r="134" spans="1:12" x14ac:dyDescent="0.25">
      <c r="A134" s="37"/>
      <c r="B134" s="38" t="s">
        <v>453</v>
      </c>
      <c r="C134" s="55"/>
      <c r="D134" s="55"/>
      <c r="E134" s="56">
        <f>AVERAGE(E87:E94,E105:E110,E121:E125)</f>
        <v>103.85714285714286</v>
      </c>
      <c r="F134" s="68"/>
      <c r="G134" s="69"/>
      <c r="H134" s="68"/>
      <c r="I134" s="122"/>
      <c r="J134" s="122"/>
    </row>
    <row r="135" spans="1:12" ht="30" x14ac:dyDescent="0.25">
      <c r="A135" s="37"/>
      <c r="B135" s="38" t="s">
        <v>454</v>
      </c>
      <c r="C135" s="55"/>
      <c r="D135" s="55"/>
      <c r="E135" s="56">
        <f>AVERAGE(E125,E124,E123,E106,E109,E91,E89,E88)</f>
        <v>159.875</v>
      </c>
      <c r="F135" s="113"/>
      <c r="G135" s="69"/>
      <c r="H135" s="68"/>
      <c r="I135" s="122"/>
      <c r="J135" s="122"/>
    </row>
    <row r="136" spans="1:12" x14ac:dyDescent="0.25">
      <c r="A136" s="37"/>
      <c r="B136" s="38"/>
      <c r="C136" s="55"/>
      <c r="D136" s="55"/>
      <c r="E136" s="56"/>
      <c r="F136" s="68"/>
      <c r="G136" s="69"/>
      <c r="H136" s="68"/>
      <c r="I136" s="122"/>
      <c r="J136" s="122"/>
    </row>
    <row r="137" spans="1:12" ht="15.75" x14ac:dyDescent="0.3">
      <c r="A137" s="86"/>
      <c r="B137" s="87" t="s">
        <v>494</v>
      </c>
      <c r="C137" s="88"/>
      <c r="D137" s="88"/>
      <c r="E137" s="89"/>
      <c r="F137" s="90"/>
      <c r="G137" s="91"/>
      <c r="H137" s="114"/>
      <c r="I137" s="129"/>
      <c r="J137" s="129"/>
    </row>
    <row r="138" spans="1:12" s="101" customFormat="1" x14ac:dyDescent="0.25">
      <c r="A138" s="53" t="s">
        <v>115</v>
      </c>
      <c r="B138" s="54" t="s">
        <v>495</v>
      </c>
      <c r="C138" s="94">
        <v>41751</v>
      </c>
      <c r="D138" s="94">
        <v>41795</v>
      </c>
      <c r="E138" s="95">
        <f t="shared" ref="E138:E144" si="5">D138-C138</f>
        <v>44</v>
      </c>
      <c r="F138" s="96">
        <v>2300</v>
      </c>
      <c r="G138" s="97">
        <v>41819</v>
      </c>
      <c r="H138" s="106" t="s">
        <v>496</v>
      </c>
      <c r="I138" s="118">
        <v>1</v>
      </c>
      <c r="J138" s="118"/>
      <c r="K138" s="100"/>
      <c r="L138" s="100"/>
    </row>
    <row r="139" spans="1:12" s="101" customFormat="1" x14ac:dyDescent="0.25">
      <c r="A139" s="53" t="s">
        <v>61</v>
      </c>
      <c r="B139" s="54" t="s">
        <v>497</v>
      </c>
      <c r="C139" s="94">
        <v>41766</v>
      </c>
      <c r="D139" s="94">
        <v>41803</v>
      </c>
      <c r="E139" s="95">
        <f t="shared" si="5"/>
        <v>37</v>
      </c>
      <c r="F139" s="96">
        <v>17050</v>
      </c>
      <c r="G139" s="97">
        <v>41803</v>
      </c>
      <c r="H139" s="116" t="s">
        <v>491</v>
      </c>
      <c r="I139" s="117"/>
      <c r="J139" s="117"/>
      <c r="K139" s="100"/>
      <c r="L139" s="100"/>
    </row>
    <row r="140" spans="1:12" s="101" customFormat="1" x14ac:dyDescent="0.25">
      <c r="A140" s="53" t="s">
        <v>60</v>
      </c>
      <c r="B140" s="54" t="s">
        <v>498</v>
      </c>
      <c r="C140" s="94">
        <v>41778</v>
      </c>
      <c r="D140" s="94">
        <v>41810</v>
      </c>
      <c r="E140" s="95">
        <f t="shared" si="5"/>
        <v>32</v>
      </c>
      <c r="F140" s="96">
        <v>3100</v>
      </c>
      <c r="G140" s="97">
        <v>41810</v>
      </c>
      <c r="H140" s="116" t="s">
        <v>491</v>
      </c>
      <c r="I140" s="117"/>
      <c r="J140" s="117"/>
      <c r="K140" s="100"/>
      <c r="L140" s="100"/>
    </row>
    <row r="141" spans="1:12" s="101" customFormat="1" x14ac:dyDescent="0.25">
      <c r="A141" s="53" t="s">
        <v>115</v>
      </c>
      <c r="B141" s="54" t="s">
        <v>499</v>
      </c>
      <c r="C141" s="94">
        <v>41789</v>
      </c>
      <c r="D141" s="94">
        <v>41809</v>
      </c>
      <c r="E141" s="95">
        <f t="shared" si="5"/>
        <v>20</v>
      </c>
      <c r="F141" s="96">
        <v>800</v>
      </c>
      <c r="G141" s="97">
        <v>41791</v>
      </c>
      <c r="H141" s="106" t="s">
        <v>456</v>
      </c>
      <c r="I141" s="107">
        <v>1</v>
      </c>
      <c r="J141" s="107"/>
      <c r="K141" s="100"/>
      <c r="L141" s="100"/>
    </row>
    <row r="142" spans="1:12" s="101" customFormat="1" x14ac:dyDescent="0.25">
      <c r="A142" s="53" t="s">
        <v>60</v>
      </c>
      <c r="B142" s="54" t="s">
        <v>500</v>
      </c>
      <c r="C142" s="94">
        <v>41605</v>
      </c>
      <c r="D142" s="94">
        <v>41815</v>
      </c>
      <c r="E142" s="95">
        <f t="shared" si="5"/>
        <v>210</v>
      </c>
      <c r="F142" s="96">
        <v>42850</v>
      </c>
      <c r="G142" s="97">
        <v>41820</v>
      </c>
      <c r="H142" s="116" t="s">
        <v>501</v>
      </c>
      <c r="I142" s="117"/>
      <c r="J142" s="117"/>
      <c r="K142" s="100"/>
      <c r="L142" s="100"/>
    </row>
    <row r="143" spans="1:12" s="101" customFormat="1" x14ac:dyDescent="0.25">
      <c r="A143" s="141" t="s">
        <v>502</v>
      </c>
      <c r="B143" s="54" t="s">
        <v>503</v>
      </c>
      <c r="C143" s="94">
        <v>41801</v>
      </c>
      <c r="D143" s="94">
        <v>41803</v>
      </c>
      <c r="E143" s="95">
        <f t="shared" si="5"/>
        <v>2</v>
      </c>
      <c r="F143" s="96">
        <v>2200</v>
      </c>
      <c r="G143" s="97">
        <v>41808</v>
      </c>
      <c r="H143" s="106" t="s">
        <v>504</v>
      </c>
      <c r="I143" s="107"/>
      <c r="J143" s="107"/>
      <c r="K143" s="100"/>
      <c r="L143" s="100"/>
    </row>
    <row r="144" spans="1:12" ht="21" customHeight="1" x14ac:dyDescent="0.25">
      <c r="A144" s="37" t="s">
        <v>115</v>
      </c>
      <c r="B144" s="142" t="s">
        <v>505</v>
      </c>
      <c r="C144" s="143">
        <v>41816</v>
      </c>
      <c r="D144" s="144">
        <v>41821</v>
      </c>
      <c r="E144" s="145">
        <f t="shared" si="5"/>
        <v>5</v>
      </c>
      <c r="F144" s="146">
        <v>800</v>
      </c>
      <c r="G144" s="147">
        <v>41817</v>
      </c>
      <c r="H144" s="148" t="s">
        <v>434</v>
      </c>
      <c r="I144" s="149">
        <v>1</v>
      </c>
      <c r="J144" s="149"/>
    </row>
    <row r="145" spans="1:12" ht="14.25" customHeight="1" x14ac:dyDescent="0.25">
      <c r="A145" s="37"/>
      <c r="B145" s="142"/>
      <c r="C145" s="143"/>
      <c r="D145" s="143"/>
      <c r="E145" s="145"/>
      <c r="F145" s="150"/>
      <c r="G145" s="147"/>
      <c r="H145" s="148"/>
      <c r="I145" s="151"/>
      <c r="J145" s="151"/>
    </row>
    <row r="146" spans="1:12" x14ac:dyDescent="0.25">
      <c r="A146" s="37"/>
      <c r="B146" s="38" t="s">
        <v>506</v>
      </c>
      <c r="C146" s="55"/>
      <c r="D146" s="55"/>
      <c r="E146" s="56"/>
      <c r="F146" s="152">
        <f>SUM(F138:F144)</f>
        <v>69100</v>
      </c>
      <c r="G146" s="58"/>
      <c r="H146" s="68"/>
      <c r="I146" s="122"/>
      <c r="J146" s="122"/>
    </row>
    <row r="147" spans="1:12" x14ac:dyDescent="0.25">
      <c r="A147" s="37"/>
      <c r="B147" s="38" t="s">
        <v>451</v>
      </c>
      <c r="C147" s="55"/>
      <c r="D147" s="55"/>
      <c r="E147" s="56"/>
      <c r="F147" s="152">
        <v>54000</v>
      </c>
      <c r="G147" s="58"/>
      <c r="H147" s="68"/>
      <c r="I147" s="122"/>
      <c r="J147" s="122"/>
    </row>
    <row r="148" spans="1:12" x14ac:dyDescent="0.25">
      <c r="A148" s="123"/>
      <c r="B148" s="124" t="s">
        <v>452</v>
      </c>
      <c r="C148" s="55"/>
      <c r="D148" s="55"/>
      <c r="E148" s="56"/>
      <c r="F148" s="112">
        <f>F146-F147</f>
        <v>15100</v>
      </c>
      <c r="G148" s="69"/>
      <c r="H148" s="68"/>
      <c r="I148" s="122"/>
      <c r="J148" s="122"/>
    </row>
    <row r="149" spans="1:12" x14ac:dyDescent="0.25">
      <c r="A149" s="37"/>
      <c r="B149" s="38" t="s">
        <v>468</v>
      </c>
      <c r="C149" s="55"/>
      <c r="D149" s="55"/>
      <c r="E149" s="56"/>
      <c r="F149" s="126">
        <f>F130+F146</f>
        <v>253203.6</v>
      </c>
      <c r="G149" s="69"/>
      <c r="H149" s="68"/>
      <c r="I149" s="122"/>
      <c r="J149" s="122"/>
    </row>
    <row r="150" spans="1:12" x14ac:dyDescent="0.25">
      <c r="A150" s="37"/>
      <c r="B150" s="38" t="s">
        <v>469</v>
      </c>
      <c r="C150" s="55"/>
      <c r="D150" s="55"/>
      <c r="E150" s="56"/>
      <c r="F150" s="126">
        <f>F131+F147</f>
        <v>361850</v>
      </c>
      <c r="G150" s="69"/>
      <c r="H150" s="68"/>
      <c r="I150" s="122"/>
      <c r="J150" s="122"/>
    </row>
    <row r="151" spans="1:12" x14ac:dyDescent="0.25">
      <c r="A151" s="139"/>
      <c r="B151" s="140" t="s">
        <v>470</v>
      </c>
      <c r="C151" s="55"/>
      <c r="D151" s="55"/>
      <c r="E151" s="56"/>
      <c r="F151" s="112">
        <f>F149-F150</f>
        <v>-108646.39999999999</v>
      </c>
      <c r="G151" s="69"/>
      <c r="H151" s="68"/>
      <c r="I151" s="122"/>
      <c r="J151" s="122"/>
    </row>
    <row r="152" spans="1:12" x14ac:dyDescent="0.25">
      <c r="A152" s="37"/>
      <c r="B152" s="38"/>
      <c r="C152" s="55"/>
      <c r="D152" s="55"/>
      <c r="E152" s="56"/>
      <c r="F152" s="68"/>
      <c r="G152" s="69"/>
      <c r="H152" s="68"/>
      <c r="I152" s="122"/>
      <c r="J152" s="122"/>
    </row>
    <row r="153" spans="1:12" x14ac:dyDescent="0.25">
      <c r="A153" s="37"/>
      <c r="B153" s="38" t="s">
        <v>453</v>
      </c>
      <c r="C153" s="55"/>
      <c r="D153" s="55"/>
      <c r="E153" s="56">
        <f>AVERAGE(E105:E110,E121:E126,E137:E144)</f>
        <v>90</v>
      </c>
      <c r="F153" s="68"/>
      <c r="G153" s="69"/>
      <c r="H153" s="68"/>
      <c r="I153" s="122"/>
      <c r="J153" s="122"/>
    </row>
    <row r="154" spans="1:12" ht="30" x14ac:dyDescent="0.25">
      <c r="A154" s="37"/>
      <c r="B154" s="38" t="s">
        <v>454</v>
      </c>
      <c r="C154" s="55"/>
      <c r="D154" s="55"/>
      <c r="E154" s="56">
        <f>AVERAGE(E142,E140,E139,E125,E124,E123,E106)</f>
        <v>159.28571428571428</v>
      </c>
      <c r="F154" s="113"/>
      <c r="G154" s="69"/>
      <c r="H154" s="68"/>
      <c r="I154" s="108"/>
      <c r="J154" s="108"/>
    </row>
    <row r="155" spans="1:12" x14ac:dyDescent="0.25">
      <c r="A155" s="37"/>
      <c r="B155" s="38"/>
      <c r="C155" s="55"/>
      <c r="D155" s="55"/>
      <c r="E155" s="56"/>
      <c r="F155" s="68"/>
      <c r="G155" s="69"/>
      <c r="H155" s="68"/>
      <c r="I155" s="122"/>
      <c r="J155" s="122"/>
    </row>
    <row r="156" spans="1:12" ht="15.75" x14ac:dyDescent="0.3">
      <c r="A156" s="86"/>
      <c r="B156" s="87" t="s">
        <v>507</v>
      </c>
      <c r="C156" s="88"/>
      <c r="D156" s="88"/>
      <c r="E156" s="89"/>
      <c r="F156" s="90"/>
      <c r="G156" s="91"/>
      <c r="H156" s="114"/>
      <c r="I156" s="115"/>
      <c r="J156" s="115"/>
    </row>
    <row r="157" spans="1:12" s="101" customFormat="1" x14ac:dyDescent="0.25">
      <c r="A157" s="53" t="s">
        <v>60</v>
      </c>
      <c r="B157" s="54" t="s">
        <v>508</v>
      </c>
      <c r="C157" s="94">
        <v>41551</v>
      </c>
      <c r="D157" s="105">
        <v>41631</v>
      </c>
      <c r="E157" s="95">
        <f>D157-C157</f>
        <v>80</v>
      </c>
      <c r="F157" s="96">
        <v>2200</v>
      </c>
      <c r="G157" s="97">
        <v>41821</v>
      </c>
      <c r="H157" s="106" t="s">
        <v>509</v>
      </c>
      <c r="I157" s="118"/>
      <c r="J157" s="118"/>
      <c r="K157" s="100"/>
      <c r="L157" s="100"/>
    </row>
    <row r="158" spans="1:12" s="101" customFormat="1" x14ac:dyDescent="0.25">
      <c r="A158" s="53" t="s">
        <v>115</v>
      </c>
      <c r="B158" s="54" t="s">
        <v>510</v>
      </c>
      <c r="C158" s="94">
        <v>41774</v>
      </c>
      <c r="D158" s="105">
        <v>41786</v>
      </c>
      <c r="E158" s="95">
        <f>D158-C158</f>
        <v>12</v>
      </c>
      <c r="F158" s="96">
        <v>1620</v>
      </c>
      <c r="G158" s="97">
        <v>41821</v>
      </c>
      <c r="H158" s="106" t="s">
        <v>511</v>
      </c>
      <c r="I158" s="118"/>
      <c r="J158" s="118"/>
      <c r="K158" s="100"/>
      <c r="L158" s="100"/>
    </row>
    <row r="159" spans="1:12" s="101" customFormat="1" x14ac:dyDescent="0.25">
      <c r="A159" s="53" t="s">
        <v>115</v>
      </c>
      <c r="B159" s="54" t="s">
        <v>512</v>
      </c>
      <c r="C159" s="94">
        <v>41793</v>
      </c>
      <c r="D159" s="105">
        <v>41808</v>
      </c>
      <c r="E159" s="95">
        <f>D159-C159</f>
        <v>15</v>
      </c>
      <c r="F159" s="96">
        <v>1800</v>
      </c>
      <c r="G159" s="97">
        <v>41791</v>
      </c>
      <c r="H159" s="106" t="s">
        <v>434</v>
      </c>
      <c r="I159" s="107">
        <v>1</v>
      </c>
      <c r="J159" s="107"/>
      <c r="K159" s="100"/>
      <c r="L159" s="100"/>
    </row>
    <row r="160" spans="1:12" s="101" customFormat="1" x14ac:dyDescent="0.25">
      <c r="A160" s="53" t="s">
        <v>115</v>
      </c>
      <c r="B160" s="54" t="s">
        <v>513</v>
      </c>
      <c r="C160" s="94">
        <v>41787</v>
      </c>
      <c r="D160" s="105">
        <v>41795</v>
      </c>
      <c r="E160" s="95">
        <f t="shared" ref="E160:E165" si="6">D160-C160</f>
        <v>8</v>
      </c>
      <c r="F160" s="96">
        <v>378</v>
      </c>
      <c r="G160" s="97">
        <v>41821</v>
      </c>
      <c r="H160" s="106" t="s">
        <v>434</v>
      </c>
      <c r="I160" s="118">
        <v>1</v>
      </c>
      <c r="J160" s="118"/>
      <c r="K160" s="100"/>
      <c r="L160" s="100"/>
    </row>
    <row r="161" spans="1:12" s="101" customFormat="1" x14ac:dyDescent="0.25">
      <c r="A161" s="53" t="s">
        <v>115</v>
      </c>
      <c r="B161" s="54" t="s">
        <v>514</v>
      </c>
      <c r="C161" s="94">
        <v>41808</v>
      </c>
      <c r="D161" s="105">
        <v>41816</v>
      </c>
      <c r="E161" s="95">
        <f t="shared" si="6"/>
        <v>8</v>
      </c>
      <c r="F161" s="96">
        <v>2070</v>
      </c>
      <c r="G161" s="97">
        <v>41821</v>
      </c>
      <c r="H161" s="106" t="s">
        <v>515</v>
      </c>
      <c r="I161" s="118">
        <v>1</v>
      </c>
      <c r="J161" s="118"/>
      <c r="K161" s="100"/>
      <c r="L161" s="100"/>
    </row>
    <row r="162" spans="1:12" s="101" customFormat="1" x14ac:dyDescent="0.25">
      <c r="A162" s="53" t="s">
        <v>60</v>
      </c>
      <c r="B162" s="54" t="s">
        <v>369</v>
      </c>
      <c r="C162" s="94">
        <v>41829</v>
      </c>
      <c r="D162" s="105">
        <v>41831</v>
      </c>
      <c r="E162" s="95">
        <f t="shared" si="6"/>
        <v>2</v>
      </c>
      <c r="F162" s="96">
        <v>2205</v>
      </c>
      <c r="G162" s="97">
        <v>41830</v>
      </c>
      <c r="H162" s="116" t="s">
        <v>491</v>
      </c>
      <c r="I162" s="119">
        <v>2</v>
      </c>
      <c r="J162" s="119" t="s">
        <v>516</v>
      </c>
      <c r="K162" s="100"/>
      <c r="L162" s="100"/>
    </row>
    <row r="163" spans="1:12" s="101" customFormat="1" x14ac:dyDescent="0.25">
      <c r="A163" s="53" t="s">
        <v>115</v>
      </c>
      <c r="B163" s="54" t="s">
        <v>517</v>
      </c>
      <c r="C163" s="94">
        <v>41841</v>
      </c>
      <c r="D163" s="105">
        <v>41842</v>
      </c>
      <c r="E163" s="95">
        <f t="shared" si="6"/>
        <v>1</v>
      </c>
      <c r="F163" s="96">
        <v>2070</v>
      </c>
      <c r="G163" s="97">
        <v>41842</v>
      </c>
      <c r="H163" s="106" t="s">
        <v>518</v>
      </c>
      <c r="I163" s="118">
        <v>1</v>
      </c>
      <c r="J163" s="118"/>
      <c r="K163" s="100"/>
      <c r="L163" s="100"/>
    </row>
    <row r="164" spans="1:12" s="101" customFormat="1" x14ac:dyDescent="0.25">
      <c r="A164" s="53" t="s">
        <v>115</v>
      </c>
      <c r="B164" s="54" t="s">
        <v>519</v>
      </c>
      <c r="C164" s="94">
        <v>41823</v>
      </c>
      <c r="D164" s="105">
        <v>41844</v>
      </c>
      <c r="E164" s="95">
        <f t="shared" si="6"/>
        <v>21</v>
      </c>
      <c r="F164" s="96">
        <v>1170</v>
      </c>
      <c r="G164" s="97">
        <v>41837</v>
      </c>
      <c r="H164" s="106" t="s">
        <v>449</v>
      </c>
      <c r="I164" s="118">
        <v>1</v>
      </c>
      <c r="J164" s="118"/>
      <c r="K164" s="100"/>
      <c r="L164" s="100"/>
    </row>
    <row r="165" spans="1:12" s="101" customFormat="1" x14ac:dyDescent="0.25">
      <c r="A165" s="53" t="s">
        <v>115</v>
      </c>
      <c r="B165" s="54" t="s">
        <v>520</v>
      </c>
      <c r="C165" s="94">
        <v>41823</v>
      </c>
      <c r="D165" s="105">
        <v>41855</v>
      </c>
      <c r="E165" s="95">
        <f t="shared" si="6"/>
        <v>32</v>
      </c>
      <c r="F165" s="96">
        <v>800</v>
      </c>
      <c r="G165" s="97">
        <v>41841</v>
      </c>
      <c r="H165" s="106" t="s">
        <v>434</v>
      </c>
      <c r="I165" s="118">
        <v>1</v>
      </c>
      <c r="J165" s="118"/>
      <c r="K165" s="100"/>
      <c r="L165" s="100"/>
    </row>
    <row r="166" spans="1:12" s="101" customFormat="1" x14ac:dyDescent="0.25">
      <c r="A166" s="53" t="s">
        <v>115</v>
      </c>
      <c r="B166" s="54" t="s">
        <v>521</v>
      </c>
      <c r="C166" s="94">
        <v>41856</v>
      </c>
      <c r="D166" s="153">
        <v>41857</v>
      </c>
      <c r="E166" s="95">
        <f>D166-C166</f>
        <v>1</v>
      </c>
      <c r="F166" s="154">
        <v>756</v>
      </c>
      <c r="G166" s="97">
        <v>41851</v>
      </c>
      <c r="H166" s="106" t="s">
        <v>456</v>
      </c>
      <c r="I166" s="118">
        <v>1</v>
      </c>
      <c r="J166" s="118"/>
      <c r="K166" s="100"/>
      <c r="L166" s="100"/>
    </row>
    <row r="167" spans="1:12" x14ac:dyDescent="0.25">
      <c r="A167" s="37"/>
      <c r="B167" s="38"/>
      <c r="C167" s="55"/>
      <c r="D167" s="55"/>
      <c r="E167" s="56"/>
      <c r="F167" s="68"/>
      <c r="G167" s="69"/>
      <c r="H167" s="68"/>
      <c r="I167" s="122"/>
      <c r="J167" s="122"/>
    </row>
    <row r="168" spans="1:12" x14ac:dyDescent="0.25">
      <c r="A168" s="37"/>
      <c r="B168" s="38" t="s">
        <v>522</v>
      </c>
      <c r="C168" s="55"/>
      <c r="D168" s="55"/>
      <c r="E168" s="56"/>
      <c r="F168" s="152">
        <f>SUM(F157:F167)</f>
        <v>15069</v>
      </c>
      <c r="G168" s="58"/>
      <c r="H168" s="68"/>
      <c r="I168" s="122"/>
      <c r="J168" s="122"/>
    </row>
    <row r="169" spans="1:12" x14ac:dyDescent="0.25">
      <c r="A169" s="37"/>
      <c r="B169" s="38" t="s">
        <v>451</v>
      </c>
      <c r="C169" s="55"/>
      <c r="D169" s="55"/>
      <c r="E169" s="56"/>
      <c r="F169" s="152">
        <v>33200</v>
      </c>
      <c r="G169" s="58"/>
      <c r="H169" s="68"/>
      <c r="I169" s="122"/>
      <c r="J169" s="122"/>
    </row>
    <row r="170" spans="1:12" x14ac:dyDescent="0.25">
      <c r="A170" s="123"/>
      <c r="B170" s="124" t="s">
        <v>452</v>
      </c>
      <c r="C170" s="55"/>
      <c r="D170" s="55"/>
      <c r="E170" s="56"/>
      <c r="F170" s="112">
        <f>F168-F169</f>
        <v>-18131</v>
      </c>
      <c r="G170" s="69"/>
      <c r="H170" s="68"/>
      <c r="I170" s="122"/>
      <c r="J170" s="122"/>
    </row>
    <row r="171" spans="1:12" x14ac:dyDescent="0.25">
      <c r="A171" s="37"/>
      <c r="B171" s="38" t="s">
        <v>468</v>
      </c>
      <c r="C171" s="55"/>
      <c r="D171" s="55"/>
      <c r="E171" s="56"/>
      <c r="F171" s="126">
        <f>F149+F168</f>
        <v>268272.59999999998</v>
      </c>
      <c r="G171" s="69"/>
      <c r="H171" s="68"/>
      <c r="I171" s="122"/>
      <c r="J171" s="122"/>
    </row>
    <row r="172" spans="1:12" x14ac:dyDescent="0.25">
      <c r="A172" s="37"/>
      <c r="B172" s="38" t="s">
        <v>469</v>
      </c>
      <c r="C172" s="55"/>
      <c r="D172" s="55"/>
      <c r="E172" s="56"/>
      <c r="F172" s="126">
        <f>F150+F169</f>
        <v>395050</v>
      </c>
      <c r="G172" s="69"/>
      <c r="H172" s="68"/>
      <c r="I172" s="122"/>
      <c r="J172" s="122"/>
    </row>
    <row r="173" spans="1:12" x14ac:dyDescent="0.25">
      <c r="A173" s="139"/>
      <c r="B173" s="140" t="s">
        <v>470</v>
      </c>
      <c r="C173" s="55"/>
      <c r="D173" s="55"/>
      <c r="E173" s="56"/>
      <c r="F173" s="112">
        <f>F171-F172</f>
        <v>-126777.40000000002</v>
      </c>
      <c r="G173" s="69"/>
      <c r="H173" s="68"/>
      <c r="I173" s="122"/>
      <c r="J173" s="122"/>
    </row>
    <row r="174" spans="1:12" x14ac:dyDescent="0.25">
      <c r="A174" s="37"/>
      <c r="B174" s="38"/>
      <c r="C174" s="55"/>
      <c r="D174" s="55"/>
      <c r="E174" s="56"/>
      <c r="F174" s="68"/>
      <c r="G174" s="69"/>
      <c r="H174" s="68"/>
      <c r="I174" s="122"/>
      <c r="J174" s="122"/>
    </row>
    <row r="175" spans="1:12" x14ac:dyDescent="0.25">
      <c r="A175" s="37"/>
      <c r="B175" s="38" t="s">
        <v>453</v>
      </c>
      <c r="C175" s="55"/>
      <c r="D175" s="55"/>
      <c r="E175" s="56">
        <f>AVERAGE(E122:E126,E137:E159,E156:E167)</f>
        <v>64.357142857142861</v>
      </c>
      <c r="F175" s="68"/>
      <c r="G175" s="69"/>
      <c r="H175" s="68"/>
      <c r="I175" s="122"/>
      <c r="J175" s="122"/>
    </row>
    <row r="176" spans="1:12" ht="30" x14ac:dyDescent="0.25">
      <c r="A176" s="37"/>
      <c r="B176" s="38" t="s">
        <v>454</v>
      </c>
      <c r="C176" s="55"/>
      <c r="D176" s="55"/>
      <c r="E176" s="56">
        <f>AVERAGE(E162,E142,E140,E139,E123,E124,E125)</f>
        <v>145.14285714285714</v>
      </c>
      <c r="F176" s="113"/>
      <c r="G176" s="69"/>
      <c r="H176" s="68"/>
      <c r="I176" s="122"/>
      <c r="J176" s="122"/>
    </row>
    <row r="177" spans="1:12" x14ac:dyDescent="0.25">
      <c r="A177" s="37"/>
      <c r="B177" s="38"/>
      <c r="C177" s="55"/>
      <c r="D177" s="55"/>
      <c r="E177" s="56"/>
      <c r="F177" s="68"/>
      <c r="G177" s="69"/>
      <c r="H177" s="68"/>
      <c r="I177" s="122"/>
      <c r="J177" s="122"/>
    </row>
    <row r="178" spans="1:12" ht="15.75" x14ac:dyDescent="0.3">
      <c r="A178" s="86"/>
      <c r="B178" s="87" t="s">
        <v>523</v>
      </c>
      <c r="C178" s="88"/>
      <c r="D178" s="88"/>
      <c r="E178" s="89"/>
      <c r="F178" s="90"/>
      <c r="G178" s="91"/>
      <c r="H178" s="114"/>
      <c r="I178" s="93"/>
      <c r="J178" s="93"/>
    </row>
    <row r="179" spans="1:12" s="101" customFormat="1" x14ac:dyDescent="0.25">
      <c r="A179" s="53" t="s">
        <v>115</v>
      </c>
      <c r="B179" s="54" t="s">
        <v>524</v>
      </c>
      <c r="C179" s="94">
        <v>41794</v>
      </c>
      <c r="D179" s="94">
        <v>41856</v>
      </c>
      <c r="E179" s="95">
        <f>D179-C179</f>
        <v>62</v>
      </c>
      <c r="F179" s="96">
        <v>2070</v>
      </c>
      <c r="G179" s="97">
        <v>41856</v>
      </c>
      <c r="H179" s="106" t="s">
        <v>466</v>
      </c>
      <c r="I179" s="104">
        <v>1</v>
      </c>
      <c r="J179" s="104"/>
      <c r="K179" s="100"/>
      <c r="L179" s="100"/>
    </row>
    <row r="180" spans="1:12" s="101" customFormat="1" x14ac:dyDescent="0.25">
      <c r="A180" s="53"/>
      <c r="B180" s="54" t="s">
        <v>26</v>
      </c>
      <c r="C180" s="94">
        <v>41865</v>
      </c>
      <c r="D180" s="94">
        <v>41870</v>
      </c>
      <c r="E180" s="95">
        <f>D180-C180</f>
        <v>5</v>
      </c>
      <c r="F180" s="96">
        <v>2415</v>
      </c>
      <c r="G180" s="97">
        <v>41866</v>
      </c>
      <c r="H180" s="106" t="s">
        <v>434</v>
      </c>
      <c r="I180" s="104">
        <v>1</v>
      </c>
      <c r="J180" s="104"/>
      <c r="K180" s="100"/>
      <c r="L180" s="100"/>
    </row>
    <row r="181" spans="1:12" s="101" customFormat="1" x14ac:dyDescent="0.25">
      <c r="A181" s="53" t="s">
        <v>61</v>
      </c>
      <c r="B181" s="54" t="s">
        <v>525</v>
      </c>
      <c r="C181" s="94">
        <v>41599</v>
      </c>
      <c r="D181" s="94">
        <v>41879</v>
      </c>
      <c r="E181" s="95">
        <f>D181-C181</f>
        <v>280</v>
      </c>
      <c r="F181" s="96">
        <v>12400</v>
      </c>
      <c r="G181" s="97">
        <v>41879</v>
      </c>
      <c r="H181" s="116" t="s">
        <v>491</v>
      </c>
      <c r="I181" s="132">
        <v>8</v>
      </c>
      <c r="J181" s="132" t="s">
        <v>526</v>
      </c>
      <c r="K181" s="100"/>
      <c r="L181" s="100"/>
    </row>
    <row r="182" spans="1:12" s="101" customFormat="1" x14ac:dyDescent="0.25">
      <c r="A182" s="53" t="s">
        <v>61</v>
      </c>
      <c r="B182" s="54" t="s">
        <v>527</v>
      </c>
      <c r="C182" s="94">
        <v>41834</v>
      </c>
      <c r="D182" s="94">
        <v>41880</v>
      </c>
      <c r="E182" s="95">
        <f>D182-C182</f>
        <v>46</v>
      </c>
      <c r="F182" s="96">
        <v>4650</v>
      </c>
      <c r="G182" s="97">
        <v>41880</v>
      </c>
      <c r="H182" s="116" t="s">
        <v>491</v>
      </c>
      <c r="I182" s="132">
        <v>3</v>
      </c>
      <c r="J182" s="132" t="s">
        <v>526</v>
      </c>
      <c r="K182" s="100"/>
      <c r="L182" s="100"/>
    </row>
    <row r="183" spans="1:12" s="101" customFormat="1" ht="45" x14ac:dyDescent="0.25">
      <c r="A183" s="53" t="s">
        <v>115</v>
      </c>
      <c r="B183" s="155" t="s">
        <v>528</v>
      </c>
      <c r="C183" s="156">
        <v>41842</v>
      </c>
      <c r="D183" s="157">
        <v>41857</v>
      </c>
      <c r="E183" s="145">
        <f>D183-C183</f>
        <v>15</v>
      </c>
      <c r="F183" s="158">
        <v>7324</v>
      </c>
      <c r="G183" s="159">
        <v>41821</v>
      </c>
      <c r="H183" s="160" t="s">
        <v>529</v>
      </c>
      <c r="I183" s="161">
        <v>6</v>
      </c>
      <c r="J183" s="161"/>
      <c r="K183" s="100"/>
      <c r="L183" s="100"/>
    </row>
    <row r="184" spans="1:12" s="101" customFormat="1" x14ac:dyDescent="0.25">
      <c r="A184" s="53"/>
      <c r="B184" s="54"/>
      <c r="C184" s="94"/>
      <c r="D184" s="94"/>
      <c r="E184" s="95"/>
      <c r="F184" s="96"/>
      <c r="G184" s="97"/>
      <c r="H184" s="106"/>
      <c r="I184" s="104"/>
      <c r="J184" s="104"/>
      <c r="K184" s="100"/>
      <c r="L184" s="100"/>
    </row>
    <row r="185" spans="1:12" x14ac:dyDescent="0.25">
      <c r="A185" s="45"/>
      <c r="B185" s="46"/>
      <c r="C185" s="47"/>
      <c r="D185" s="47"/>
      <c r="E185" s="95"/>
      <c r="F185" s="66"/>
      <c r="G185" s="50"/>
      <c r="H185" s="120"/>
      <c r="I185" s="162"/>
      <c r="J185" s="162"/>
    </row>
    <row r="186" spans="1:12" x14ac:dyDescent="0.25">
      <c r="A186" s="45"/>
      <c r="B186" s="46"/>
      <c r="C186" s="47"/>
      <c r="D186" s="47"/>
      <c r="E186" s="95"/>
      <c r="F186" s="49"/>
      <c r="G186" s="50"/>
      <c r="H186" s="120"/>
      <c r="I186" s="163"/>
      <c r="J186" s="163"/>
    </row>
    <row r="187" spans="1:12" x14ac:dyDescent="0.25">
      <c r="A187" s="37"/>
      <c r="B187" s="38"/>
      <c r="C187" s="55"/>
      <c r="D187" s="55"/>
      <c r="E187" s="95"/>
      <c r="F187" s="70"/>
      <c r="G187" s="69"/>
      <c r="H187" s="68"/>
      <c r="I187" s="133"/>
      <c r="J187" s="133"/>
    </row>
    <row r="188" spans="1:12" x14ac:dyDescent="0.25">
      <c r="A188" s="37"/>
      <c r="B188" s="38" t="s">
        <v>530</v>
      </c>
      <c r="C188" s="55"/>
      <c r="D188" s="55"/>
      <c r="E188" s="56"/>
      <c r="F188" s="152">
        <f>SUM(F179:F187)</f>
        <v>28859</v>
      </c>
      <c r="G188" s="58"/>
      <c r="H188" s="68"/>
      <c r="I188" s="133"/>
      <c r="J188" s="133"/>
    </row>
    <row r="189" spans="1:12" x14ac:dyDescent="0.25">
      <c r="A189" s="37"/>
      <c r="B189" s="38" t="s">
        <v>451</v>
      </c>
      <c r="C189" s="55"/>
      <c r="D189" s="55"/>
      <c r="E189" s="56"/>
      <c r="F189" s="152">
        <v>30100</v>
      </c>
      <c r="G189" s="58"/>
      <c r="H189" s="68"/>
      <c r="I189" s="133"/>
      <c r="J189" s="133"/>
    </row>
    <row r="190" spans="1:12" x14ac:dyDescent="0.25">
      <c r="A190" s="123"/>
      <c r="B190" s="124" t="s">
        <v>452</v>
      </c>
      <c r="C190" s="55"/>
      <c r="D190" s="55"/>
      <c r="E190" s="56"/>
      <c r="F190" s="112">
        <f>F188-F189</f>
        <v>-1241</v>
      </c>
      <c r="G190" s="69"/>
      <c r="H190" s="68"/>
      <c r="I190" s="133"/>
      <c r="J190" s="133"/>
    </row>
    <row r="191" spans="1:12" x14ac:dyDescent="0.25">
      <c r="A191" s="37"/>
      <c r="B191" s="38" t="s">
        <v>468</v>
      </c>
      <c r="C191" s="55"/>
      <c r="D191" s="55"/>
      <c r="E191" s="56"/>
      <c r="F191" s="126">
        <f>F171+F188</f>
        <v>297131.59999999998</v>
      </c>
      <c r="G191" s="69"/>
      <c r="H191" s="68"/>
      <c r="I191" s="133"/>
      <c r="J191" s="133"/>
    </row>
    <row r="192" spans="1:12" x14ac:dyDescent="0.25">
      <c r="A192" s="37"/>
      <c r="B192" s="38" t="s">
        <v>469</v>
      </c>
      <c r="C192" s="55"/>
      <c r="D192" s="55"/>
      <c r="E192" s="56"/>
      <c r="F192" s="126">
        <f>F172+F189</f>
        <v>425150</v>
      </c>
      <c r="G192" s="69"/>
      <c r="H192" s="68"/>
      <c r="I192" s="133"/>
      <c r="J192" s="133"/>
    </row>
    <row r="193" spans="1:12" x14ac:dyDescent="0.25">
      <c r="A193" s="139"/>
      <c r="B193" s="140" t="s">
        <v>470</v>
      </c>
      <c r="C193" s="55"/>
      <c r="D193" s="55"/>
      <c r="E193" s="56"/>
      <c r="F193" s="112">
        <f>F191-F192</f>
        <v>-128018.40000000002</v>
      </c>
      <c r="G193" s="69"/>
      <c r="H193" s="68"/>
      <c r="I193" s="133"/>
      <c r="J193" s="133"/>
    </row>
    <row r="194" spans="1:12" x14ac:dyDescent="0.25">
      <c r="A194" s="37"/>
      <c r="B194" s="38"/>
      <c r="C194" s="55"/>
      <c r="D194" s="55"/>
      <c r="E194" s="56"/>
      <c r="F194" s="68"/>
      <c r="G194" s="69"/>
      <c r="H194" s="68"/>
      <c r="I194" s="133"/>
      <c r="J194" s="133"/>
    </row>
    <row r="195" spans="1:12" x14ac:dyDescent="0.25">
      <c r="A195" s="37"/>
      <c r="B195" s="38" t="s">
        <v>453</v>
      </c>
      <c r="C195" s="55"/>
      <c r="D195" s="55"/>
      <c r="E195" s="56">
        <f>AVERAGE(E179:E182,E157:E165,E138:E143)</f>
        <v>48.263157894736842</v>
      </c>
      <c r="F195" s="68"/>
      <c r="G195" s="69"/>
      <c r="H195" s="68"/>
      <c r="I195" s="133"/>
      <c r="J195" s="133"/>
    </row>
    <row r="196" spans="1:12" ht="45" x14ac:dyDescent="0.25">
      <c r="A196" s="37"/>
      <c r="B196" s="38" t="s">
        <v>454</v>
      </c>
      <c r="C196" s="55"/>
      <c r="D196" s="55"/>
      <c r="E196" s="56">
        <f>AVERAGE(E182,E181,E162,E142,E139,E140)</f>
        <v>101.16666666666667</v>
      </c>
      <c r="F196" s="113"/>
      <c r="G196" s="69"/>
      <c r="H196" s="68"/>
      <c r="I196" s="133"/>
      <c r="J196" s="133"/>
      <c r="K196" s="164" t="s">
        <v>531</v>
      </c>
    </row>
    <row r="197" spans="1:12" x14ac:dyDescent="0.25">
      <c r="A197" s="37"/>
      <c r="B197" s="38"/>
      <c r="C197" s="55"/>
      <c r="D197" s="55"/>
      <c r="E197" s="56"/>
      <c r="F197" s="68"/>
      <c r="G197" s="69"/>
      <c r="H197" s="68"/>
      <c r="I197" s="130"/>
      <c r="J197" s="130"/>
    </row>
    <row r="198" spans="1:12" ht="15.75" x14ac:dyDescent="0.3">
      <c r="A198" s="86"/>
      <c r="B198" s="87" t="s">
        <v>532</v>
      </c>
      <c r="C198" s="88"/>
      <c r="D198" s="88"/>
      <c r="E198" s="89"/>
      <c r="F198" s="90"/>
      <c r="G198" s="91"/>
      <c r="H198" s="114"/>
      <c r="I198" s="131"/>
      <c r="J198" s="131"/>
    </row>
    <row r="199" spans="1:12" s="169" customFormat="1" x14ac:dyDescent="0.25">
      <c r="A199" s="53" t="s">
        <v>61</v>
      </c>
      <c r="B199" s="155" t="s">
        <v>533</v>
      </c>
      <c r="C199" s="156">
        <v>41620</v>
      </c>
      <c r="D199" s="165">
        <v>41873</v>
      </c>
      <c r="E199" s="145">
        <f t="shared" ref="E199:E208" si="7">D199-C199</f>
        <v>253</v>
      </c>
      <c r="F199" s="158">
        <v>3100</v>
      </c>
      <c r="G199" s="159">
        <v>41883</v>
      </c>
      <c r="H199" s="166" t="s">
        <v>491</v>
      </c>
      <c r="I199" s="167">
        <v>2</v>
      </c>
      <c r="J199" s="167" t="s">
        <v>526</v>
      </c>
      <c r="K199" s="168"/>
      <c r="L199" s="168"/>
    </row>
    <row r="200" spans="1:12" s="169" customFormat="1" x14ac:dyDescent="0.25">
      <c r="A200" s="53" t="s">
        <v>60</v>
      </c>
      <c r="B200" s="155" t="s">
        <v>375</v>
      </c>
      <c r="C200" s="156">
        <v>41639</v>
      </c>
      <c r="D200" s="156">
        <v>41891</v>
      </c>
      <c r="E200" s="145">
        <f t="shared" si="7"/>
        <v>252</v>
      </c>
      <c r="F200" s="158">
        <v>12200</v>
      </c>
      <c r="G200" s="159">
        <v>41891</v>
      </c>
      <c r="H200" s="166" t="s">
        <v>534</v>
      </c>
      <c r="I200" s="167" t="s">
        <v>535</v>
      </c>
      <c r="J200" s="167" t="s">
        <v>516</v>
      </c>
      <c r="K200" s="168"/>
      <c r="L200" s="168"/>
    </row>
    <row r="201" spans="1:12" s="169" customFormat="1" x14ac:dyDescent="0.25">
      <c r="A201" s="53" t="s">
        <v>61</v>
      </c>
      <c r="B201" s="155" t="s">
        <v>536</v>
      </c>
      <c r="C201" s="156">
        <v>41764</v>
      </c>
      <c r="D201" s="156">
        <v>41894</v>
      </c>
      <c r="E201" s="145">
        <f t="shared" si="7"/>
        <v>130</v>
      </c>
      <c r="F201" s="158">
        <v>7750</v>
      </c>
      <c r="G201" s="170">
        <v>41845</v>
      </c>
      <c r="H201" s="166" t="s">
        <v>491</v>
      </c>
      <c r="I201" s="167" t="s">
        <v>537</v>
      </c>
      <c r="J201" s="167" t="s">
        <v>526</v>
      </c>
      <c r="K201" s="168"/>
      <c r="L201" s="168"/>
    </row>
    <row r="202" spans="1:12" s="169" customFormat="1" x14ac:dyDescent="0.25">
      <c r="A202" s="53" t="s">
        <v>61</v>
      </c>
      <c r="B202" s="155" t="s">
        <v>538</v>
      </c>
      <c r="C202" s="156">
        <v>41480</v>
      </c>
      <c r="D202" s="156">
        <v>41899</v>
      </c>
      <c r="E202" s="145">
        <f t="shared" si="7"/>
        <v>419</v>
      </c>
      <c r="F202" s="158">
        <v>12240</v>
      </c>
      <c r="G202" s="159">
        <v>41897</v>
      </c>
      <c r="H202" s="166" t="s">
        <v>491</v>
      </c>
      <c r="I202" s="167" t="s">
        <v>539</v>
      </c>
      <c r="J202" s="167" t="s">
        <v>516</v>
      </c>
      <c r="K202" s="168"/>
      <c r="L202" s="168"/>
    </row>
    <row r="203" spans="1:12" s="169" customFormat="1" x14ac:dyDescent="0.25">
      <c r="A203" s="53" t="s">
        <v>61</v>
      </c>
      <c r="B203" s="155" t="s">
        <v>540</v>
      </c>
      <c r="C203" s="156">
        <v>41456</v>
      </c>
      <c r="D203" s="156">
        <v>41901</v>
      </c>
      <c r="E203" s="145">
        <f t="shared" si="7"/>
        <v>445</v>
      </c>
      <c r="F203" s="158">
        <v>10390</v>
      </c>
      <c r="G203" s="159">
        <v>41901</v>
      </c>
      <c r="H203" s="166" t="s">
        <v>534</v>
      </c>
      <c r="I203" s="167" t="s">
        <v>541</v>
      </c>
      <c r="J203" s="167" t="s">
        <v>516</v>
      </c>
      <c r="K203" s="168"/>
      <c r="L203" s="168"/>
    </row>
    <row r="204" spans="1:12" s="175" customFormat="1" ht="30" x14ac:dyDescent="0.25">
      <c r="A204" s="53" t="s">
        <v>115</v>
      </c>
      <c r="B204" s="171" t="s">
        <v>542</v>
      </c>
      <c r="C204" s="156">
        <v>41862</v>
      </c>
      <c r="D204" s="156">
        <v>41901</v>
      </c>
      <c r="E204" s="145">
        <f t="shared" si="7"/>
        <v>39</v>
      </c>
      <c r="F204" s="158">
        <v>4900</v>
      </c>
      <c r="G204" s="159">
        <v>41901</v>
      </c>
      <c r="H204" s="172" t="s">
        <v>543</v>
      </c>
      <c r="I204" s="173">
        <v>3</v>
      </c>
      <c r="J204" s="173" t="s">
        <v>516</v>
      </c>
      <c r="K204" s="174"/>
      <c r="L204" s="174"/>
    </row>
    <row r="205" spans="1:12" s="169" customFormat="1" x14ac:dyDescent="0.25">
      <c r="A205" s="53" t="s">
        <v>60</v>
      </c>
      <c r="B205" s="155" t="s">
        <v>544</v>
      </c>
      <c r="C205" s="156">
        <v>41827</v>
      </c>
      <c r="D205" s="156">
        <v>41905</v>
      </c>
      <c r="E205" s="145">
        <f t="shared" si="7"/>
        <v>78</v>
      </c>
      <c r="F205" s="158">
        <v>1550</v>
      </c>
      <c r="G205" s="159">
        <v>41905</v>
      </c>
      <c r="H205" s="166" t="s">
        <v>491</v>
      </c>
      <c r="I205" s="167">
        <v>1</v>
      </c>
      <c r="J205" s="167" t="s">
        <v>526</v>
      </c>
      <c r="K205" s="168"/>
      <c r="L205" s="168"/>
    </row>
    <row r="206" spans="1:12" s="178" customFormat="1" ht="20.25" customHeight="1" x14ac:dyDescent="0.25">
      <c r="A206" s="37" t="s">
        <v>115</v>
      </c>
      <c r="B206" s="142" t="s">
        <v>545</v>
      </c>
      <c r="C206" s="143">
        <v>41821</v>
      </c>
      <c r="D206" s="143">
        <v>41907</v>
      </c>
      <c r="E206" s="145">
        <f t="shared" si="7"/>
        <v>86</v>
      </c>
      <c r="F206" s="158">
        <v>1550</v>
      </c>
      <c r="G206" s="147">
        <v>41907</v>
      </c>
      <c r="H206" s="148" t="s">
        <v>546</v>
      </c>
      <c r="I206" s="176">
        <v>1</v>
      </c>
      <c r="J206" s="176" t="s">
        <v>526</v>
      </c>
      <c r="K206" s="177"/>
      <c r="L206" s="177"/>
    </row>
    <row r="207" spans="1:12" s="178" customFormat="1" x14ac:dyDescent="0.25">
      <c r="A207" s="37" t="s">
        <v>61</v>
      </c>
      <c r="B207" s="142" t="s">
        <v>547</v>
      </c>
      <c r="C207" s="143">
        <v>41681</v>
      </c>
      <c r="D207" s="143">
        <v>41911</v>
      </c>
      <c r="E207" s="145">
        <f t="shared" si="7"/>
        <v>230</v>
      </c>
      <c r="F207" s="158">
        <v>9540</v>
      </c>
      <c r="G207" s="147">
        <v>41911</v>
      </c>
      <c r="H207" s="179" t="s">
        <v>491</v>
      </c>
      <c r="I207" s="180" t="s">
        <v>539</v>
      </c>
      <c r="J207" s="180" t="s">
        <v>516</v>
      </c>
      <c r="K207" s="177"/>
      <c r="L207" s="177"/>
    </row>
    <row r="208" spans="1:12" s="178" customFormat="1" ht="30" x14ac:dyDescent="0.25">
      <c r="A208" s="37" t="s">
        <v>60</v>
      </c>
      <c r="B208" s="142" t="s">
        <v>548</v>
      </c>
      <c r="C208" s="143">
        <v>41592</v>
      </c>
      <c r="D208" s="143">
        <v>41915</v>
      </c>
      <c r="E208" s="145">
        <f t="shared" si="7"/>
        <v>323</v>
      </c>
      <c r="F208" s="158">
        <v>9765</v>
      </c>
      <c r="G208" s="147">
        <v>41912</v>
      </c>
      <c r="H208" s="179" t="s">
        <v>549</v>
      </c>
      <c r="I208" s="180">
        <v>6</v>
      </c>
      <c r="J208" s="180" t="s">
        <v>516</v>
      </c>
      <c r="K208" s="177"/>
      <c r="L208" s="177"/>
    </row>
    <row r="209" spans="1:12" s="178" customFormat="1" x14ac:dyDescent="0.25">
      <c r="A209" s="37"/>
      <c r="B209" s="142"/>
      <c r="C209" s="143"/>
      <c r="D209" s="143"/>
      <c r="E209" s="145"/>
      <c r="F209" s="181"/>
      <c r="G209" s="147"/>
      <c r="H209" s="179"/>
      <c r="I209" s="180"/>
      <c r="J209" s="180"/>
      <c r="K209" s="177"/>
      <c r="L209" s="177"/>
    </row>
    <row r="210" spans="1:12" s="178" customFormat="1" x14ac:dyDescent="0.25">
      <c r="A210" s="37"/>
      <c r="B210" s="142"/>
      <c r="C210" s="143"/>
      <c r="D210" s="143"/>
      <c r="E210" s="145"/>
      <c r="F210" s="181"/>
      <c r="G210" s="147"/>
      <c r="H210" s="148"/>
      <c r="I210" s="176"/>
      <c r="J210" s="176"/>
      <c r="K210" s="177"/>
      <c r="L210" s="177"/>
    </row>
    <row r="211" spans="1:12" x14ac:dyDescent="0.25">
      <c r="A211" s="37"/>
      <c r="B211" s="38" t="s">
        <v>550</v>
      </c>
      <c r="C211" s="55"/>
      <c r="D211" s="55"/>
      <c r="E211" s="56"/>
      <c r="F211" s="152">
        <f>SUM(F199:F208)</f>
        <v>72985</v>
      </c>
      <c r="G211" s="58"/>
      <c r="H211" s="68"/>
      <c r="I211" s="133"/>
      <c r="J211" s="133"/>
    </row>
    <row r="212" spans="1:12" x14ac:dyDescent="0.25">
      <c r="A212" s="37"/>
      <c r="B212" s="38" t="s">
        <v>451</v>
      </c>
      <c r="C212" s="55"/>
      <c r="D212" s="55"/>
      <c r="E212" s="56"/>
      <c r="F212" s="152">
        <v>60206</v>
      </c>
      <c r="G212" s="58"/>
      <c r="H212" s="68"/>
      <c r="I212" s="133"/>
      <c r="J212" s="133"/>
    </row>
    <row r="213" spans="1:12" x14ac:dyDescent="0.25">
      <c r="A213" s="123"/>
      <c r="B213" s="124" t="s">
        <v>452</v>
      </c>
      <c r="C213" s="55"/>
      <c r="D213" s="55"/>
      <c r="E213" s="56"/>
      <c r="F213" s="112">
        <f>F211-F212</f>
        <v>12779</v>
      </c>
      <c r="G213" s="69"/>
      <c r="H213" s="68"/>
      <c r="I213" s="133"/>
      <c r="J213" s="133"/>
    </row>
    <row r="214" spans="1:12" x14ac:dyDescent="0.25">
      <c r="A214" s="37"/>
      <c r="B214" s="38" t="s">
        <v>468</v>
      </c>
      <c r="C214" s="55"/>
      <c r="D214" s="55"/>
      <c r="E214" s="56"/>
      <c r="F214" s="126">
        <f>F191+F211</f>
        <v>370116.6</v>
      </c>
      <c r="G214" s="69"/>
      <c r="H214" s="68"/>
      <c r="I214" s="122"/>
      <c r="J214" s="122"/>
    </row>
    <row r="215" spans="1:12" x14ac:dyDescent="0.25">
      <c r="A215" s="37"/>
      <c r="B215" s="38" t="s">
        <v>469</v>
      </c>
      <c r="C215" s="55"/>
      <c r="D215" s="55"/>
      <c r="E215" s="56"/>
      <c r="F215" s="126">
        <f>F192+F212</f>
        <v>485356</v>
      </c>
      <c r="G215" s="69"/>
      <c r="H215" s="68"/>
      <c r="I215" s="133"/>
      <c r="J215" s="133"/>
    </row>
    <row r="216" spans="1:12" x14ac:dyDescent="0.25">
      <c r="A216" s="139"/>
      <c r="B216" s="140" t="s">
        <v>470</v>
      </c>
      <c r="C216" s="55"/>
      <c r="D216" s="55"/>
      <c r="E216" s="56"/>
      <c r="F216" s="112">
        <f>F214-F215</f>
        <v>-115239.40000000002</v>
      </c>
      <c r="G216" s="69"/>
      <c r="H216" s="68"/>
      <c r="I216" s="133"/>
      <c r="J216" s="133"/>
    </row>
    <row r="217" spans="1:12" x14ac:dyDescent="0.25">
      <c r="A217" s="37"/>
      <c r="B217" s="38"/>
      <c r="C217" s="55"/>
      <c r="D217" s="55"/>
      <c r="E217" s="56"/>
      <c r="F217" s="68"/>
      <c r="G217" s="69"/>
      <c r="H217" s="68"/>
      <c r="I217" s="133"/>
      <c r="J217" s="133"/>
    </row>
    <row r="218" spans="1:12" x14ac:dyDescent="0.25">
      <c r="A218" s="37"/>
      <c r="B218" s="38" t="s">
        <v>453</v>
      </c>
      <c r="C218" s="55"/>
      <c r="D218" s="55"/>
      <c r="E218" s="56">
        <f>AVERAGE(E199:E208,E179:E182,E157:E166)</f>
        <v>117.83333333333333</v>
      </c>
      <c r="F218" s="68"/>
      <c r="G218" s="69"/>
      <c r="H218" s="68"/>
      <c r="I218" s="133"/>
      <c r="J218" s="133"/>
    </row>
    <row r="219" spans="1:12" ht="30" x14ac:dyDescent="0.25">
      <c r="A219" s="37"/>
      <c r="B219" s="38" t="s">
        <v>454</v>
      </c>
      <c r="C219" s="55"/>
      <c r="D219" s="55"/>
      <c r="E219" s="56">
        <f>AVERAGE(E208,E207,E205,E203,E202,E201,E200,E199,E182,E181,E162)</f>
        <v>223.45454545454547</v>
      </c>
      <c r="F219" s="113"/>
      <c r="G219" s="69"/>
      <c r="H219" s="68"/>
      <c r="I219" s="133"/>
      <c r="J219" s="133"/>
    </row>
    <row r="220" spans="1:12" x14ac:dyDescent="0.25">
      <c r="A220" s="37"/>
      <c r="B220" s="38"/>
      <c r="C220" s="55"/>
      <c r="D220" s="55"/>
      <c r="E220" s="56"/>
      <c r="F220" s="68"/>
      <c r="G220" s="69"/>
      <c r="H220" s="68"/>
      <c r="I220" s="133"/>
      <c r="J220" s="133"/>
    </row>
    <row r="221" spans="1:12" ht="15.75" x14ac:dyDescent="0.3">
      <c r="A221" s="86"/>
      <c r="B221" s="87" t="s">
        <v>551</v>
      </c>
      <c r="C221" s="88"/>
      <c r="D221" s="88"/>
      <c r="E221" s="89"/>
      <c r="F221" s="90"/>
      <c r="G221" s="91"/>
      <c r="H221" s="114"/>
      <c r="I221" s="131"/>
      <c r="J221" s="131"/>
    </row>
    <row r="222" spans="1:12" s="101" customFormat="1" x14ac:dyDescent="0.25">
      <c r="A222" s="53" t="s">
        <v>115</v>
      </c>
      <c r="B222" s="54" t="s">
        <v>552</v>
      </c>
      <c r="C222" s="94">
        <v>41821</v>
      </c>
      <c r="D222" s="105">
        <v>41885</v>
      </c>
      <c r="E222" s="182">
        <f t="shared" ref="E222:E226" si="8">D222-C222</f>
        <v>64</v>
      </c>
      <c r="F222" s="96">
        <v>1890</v>
      </c>
      <c r="G222" s="97">
        <v>41913</v>
      </c>
      <c r="H222" s="106" t="s">
        <v>434</v>
      </c>
      <c r="I222" s="104">
        <v>1</v>
      </c>
      <c r="J222" s="104" t="s">
        <v>516</v>
      </c>
      <c r="K222" s="100"/>
      <c r="L222" s="100"/>
    </row>
    <row r="223" spans="1:12" x14ac:dyDescent="0.25">
      <c r="A223" s="53" t="s">
        <v>115</v>
      </c>
      <c r="B223" s="54" t="s">
        <v>553</v>
      </c>
      <c r="C223" s="94">
        <v>41898</v>
      </c>
      <c r="D223" s="105">
        <v>41906</v>
      </c>
      <c r="E223" s="182">
        <f t="shared" si="8"/>
        <v>8</v>
      </c>
      <c r="F223" s="96">
        <v>2300</v>
      </c>
      <c r="G223" s="97">
        <v>41913</v>
      </c>
      <c r="H223" s="106" t="s">
        <v>515</v>
      </c>
      <c r="I223" s="104">
        <v>1</v>
      </c>
      <c r="J223" s="104" t="s">
        <v>516</v>
      </c>
    </row>
    <row r="224" spans="1:12" s="101" customFormat="1" x14ac:dyDescent="0.25">
      <c r="A224" s="53" t="s">
        <v>60</v>
      </c>
      <c r="B224" s="54" t="s">
        <v>554</v>
      </c>
      <c r="C224" s="94">
        <v>41648</v>
      </c>
      <c r="D224" s="105">
        <v>41932</v>
      </c>
      <c r="E224" s="182">
        <f t="shared" si="8"/>
        <v>284</v>
      </c>
      <c r="F224" s="96">
        <v>7750</v>
      </c>
      <c r="G224" s="97">
        <v>41927</v>
      </c>
      <c r="H224" s="116" t="s">
        <v>491</v>
      </c>
      <c r="I224" s="132" t="s">
        <v>555</v>
      </c>
      <c r="J224" s="132" t="s">
        <v>526</v>
      </c>
      <c r="K224" s="100"/>
      <c r="L224" s="100"/>
    </row>
    <row r="225" spans="1:12" s="101" customFormat="1" x14ac:dyDescent="0.25">
      <c r="A225" s="53" t="s">
        <v>60</v>
      </c>
      <c r="B225" s="54" t="s">
        <v>556</v>
      </c>
      <c r="C225" s="94">
        <v>41746</v>
      </c>
      <c r="D225" s="105">
        <v>41934</v>
      </c>
      <c r="E225" s="182">
        <f t="shared" si="8"/>
        <v>188</v>
      </c>
      <c r="F225" s="96">
        <v>17050</v>
      </c>
      <c r="G225" s="97">
        <v>41934</v>
      </c>
      <c r="H225" s="116" t="s">
        <v>491</v>
      </c>
      <c r="I225" s="132">
        <v>11</v>
      </c>
      <c r="J225" s="132" t="s">
        <v>526</v>
      </c>
      <c r="K225" s="100"/>
      <c r="L225" s="100"/>
    </row>
    <row r="226" spans="1:12" s="101" customFormat="1" x14ac:dyDescent="0.25">
      <c r="A226" s="53" t="s">
        <v>60</v>
      </c>
      <c r="B226" s="54" t="s">
        <v>557</v>
      </c>
      <c r="C226" s="94">
        <v>41848</v>
      </c>
      <c r="D226" s="105">
        <v>41934</v>
      </c>
      <c r="E226" s="182">
        <f t="shared" si="8"/>
        <v>86</v>
      </c>
      <c r="F226" s="96">
        <v>4650</v>
      </c>
      <c r="G226" s="97">
        <v>41934</v>
      </c>
      <c r="H226" s="116" t="s">
        <v>491</v>
      </c>
      <c r="I226" s="132">
        <v>3</v>
      </c>
      <c r="J226" s="132" t="s">
        <v>526</v>
      </c>
      <c r="K226" s="100"/>
      <c r="L226" s="100"/>
    </row>
    <row r="227" spans="1:12" x14ac:dyDescent="0.25">
      <c r="A227" s="45"/>
      <c r="B227" s="46"/>
      <c r="C227" s="47"/>
      <c r="D227" s="183"/>
      <c r="E227" s="182"/>
      <c r="F227" s="66"/>
      <c r="G227" s="50"/>
      <c r="H227" s="120"/>
      <c r="I227" s="163"/>
      <c r="J227" s="163"/>
    </row>
    <row r="228" spans="1:12" x14ac:dyDescent="0.25">
      <c r="A228" s="45"/>
      <c r="B228" s="46"/>
      <c r="C228" s="47"/>
      <c r="D228" s="47"/>
      <c r="E228" s="95"/>
      <c r="F228" s="49"/>
      <c r="G228" s="50"/>
      <c r="H228" s="120"/>
      <c r="I228" s="163"/>
      <c r="J228" s="163"/>
    </row>
    <row r="229" spans="1:12" x14ac:dyDescent="0.25">
      <c r="A229" s="37"/>
      <c r="B229" s="38"/>
      <c r="C229" s="55"/>
      <c r="D229" s="55"/>
      <c r="E229" s="95"/>
      <c r="F229" s="70"/>
      <c r="G229" s="69"/>
      <c r="H229" s="68"/>
      <c r="I229" s="133"/>
      <c r="J229" s="133"/>
    </row>
    <row r="230" spans="1:12" x14ac:dyDescent="0.25">
      <c r="A230" s="37"/>
      <c r="B230" s="38" t="s">
        <v>404</v>
      </c>
      <c r="C230" s="55"/>
      <c r="D230" s="55"/>
      <c r="E230" s="56"/>
      <c r="F230" s="152">
        <f>SUM(F222:F229)</f>
        <v>33640</v>
      </c>
      <c r="G230" s="58"/>
      <c r="H230" s="68"/>
      <c r="I230" s="133"/>
      <c r="J230" s="133"/>
    </row>
    <row r="231" spans="1:12" x14ac:dyDescent="0.25">
      <c r="A231" s="37"/>
      <c r="B231" s="38" t="s">
        <v>451</v>
      </c>
      <c r="C231" s="55"/>
      <c r="D231" s="55"/>
      <c r="E231" s="56"/>
      <c r="F231" s="152">
        <v>58650</v>
      </c>
      <c r="G231" s="58"/>
      <c r="H231" s="68"/>
      <c r="I231" s="133"/>
      <c r="J231" s="133"/>
    </row>
    <row r="232" spans="1:12" x14ac:dyDescent="0.25">
      <c r="A232" s="37"/>
      <c r="B232" s="38" t="s">
        <v>452</v>
      </c>
      <c r="C232" s="55"/>
      <c r="D232" s="55"/>
      <c r="E232" s="56"/>
      <c r="F232" s="112">
        <f>F230-F231</f>
        <v>-25010</v>
      </c>
      <c r="G232" s="69"/>
      <c r="H232" s="68"/>
      <c r="I232" s="130"/>
      <c r="J232" s="130"/>
    </row>
    <row r="233" spans="1:12" x14ac:dyDescent="0.25">
      <c r="A233" s="37"/>
      <c r="B233" s="38" t="s">
        <v>468</v>
      </c>
      <c r="C233" s="55"/>
      <c r="D233" s="55"/>
      <c r="E233" s="56"/>
      <c r="F233" s="126">
        <f>F214+F230</f>
        <v>403756.6</v>
      </c>
      <c r="G233" s="69"/>
      <c r="H233" s="68"/>
      <c r="I233" s="130"/>
      <c r="J233" s="130"/>
    </row>
    <row r="234" spans="1:12" x14ac:dyDescent="0.25">
      <c r="A234" s="37"/>
      <c r="B234" s="38" t="s">
        <v>469</v>
      </c>
      <c r="C234" s="55"/>
      <c r="D234" s="55"/>
      <c r="E234" s="56"/>
      <c r="F234" s="126">
        <f>F215+F231</f>
        <v>544006</v>
      </c>
      <c r="G234" s="69"/>
      <c r="H234" s="68"/>
      <c r="I234" s="133"/>
      <c r="J234" s="133"/>
    </row>
    <row r="235" spans="1:12" x14ac:dyDescent="0.25">
      <c r="A235" s="139"/>
      <c r="B235" s="140" t="s">
        <v>470</v>
      </c>
      <c r="C235" s="55"/>
      <c r="D235" s="55"/>
      <c r="E235" s="56"/>
      <c r="F235" s="112">
        <f>F233-F234</f>
        <v>-140249.40000000002</v>
      </c>
      <c r="G235" s="69"/>
      <c r="H235" s="68"/>
      <c r="I235" s="133"/>
      <c r="J235" s="133"/>
    </row>
    <row r="236" spans="1:12" x14ac:dyDescent="0.25">
      <c r="A236" s="37"/>
      <c r="B236" s="38"/>
      <c r="C236" s="55"/>
      <c r="D236" s="55"/>
      <c r="E236" s="56"/>
      <c r="F236" s="68"/>
      <c r="G236" s="69"/>
      <c r="H236" s="68"/>
      <c r="I236" s="130"/>
      <c r="J236" s="130"/>
    </row>
    <row r="237" spans="1:12" x14ac:dyDescent="0.25">
      <c r="A237" s="37"/>
      <c r="B237" s="38" t="s">
        <v>453</v>
      </c>
      <c r="C237" s="55"/>
      <c r="D237" s="55"/>
      <c r="E237" s="56">
        <f>AVERAGE(E222:E226,E199:E208,E179:E182)</f>
        <v>172.52631578947367</v>
      </c>
      <c r="F237" s="68"/>
      <c r="G237" s="69"/>
      <c r="H237" s="68"/>
      <c r="I237" s="133"/>
      <c r="J237" s="133"/>
    </row>
    <row r="238" spans="1:12" ht="30" x14ac:dyDescent="0.25">
      <c r="A238" s="37"/>
      <c r="B238" s="38" t="s">
        <v>454</v>
      </c>
      <c r="C238" s="55"/>
      <c r="D238" s="55"/>
      <c r="E238" s="56" t="e">
        <f>AVERAGE(#REF!,E226,E225,E224,E207,E208,E205,E203,E202,E201,E200,E199,E182,E181)</f>
        <v>#REF!</v>
      </c>
      <c r="F238" s="113"/>
      <c r="G238" s="69"/>
      <c r="H238" s="68"/>
      <c r="I238" s="133"/>
      <c r="J238" s="133"/>
    </row>
    <row r="239" spans="1:12" x14ac:dyDescent="0.25">
      <c r="A239" s="37"/>
      <c r="B239" s="38"/>
      <c r="C239" s="55"/>
      <c r="D239" s="55"/>
      <c r="E239" s="56"/>
      <c r="F239" s="68"/>
      <c r="G239" s="69"/>
      <c r="H239" s="68"/>
      <c r="I239" s="130"/>
      <c r="J239" s="130"/>
    </row>
    <row r="240" spans="1:12" ht="15.75" x14ac:dyDescent="0.3">
      <c r="A240" s="86"/>
      <c r="B240" s="87" t="s">
        <v>558</v>
      </c>
      <c r="C240" s="88"/>
      <c r="D240" s="88"/>
      <c r="E240" s="89"/>
      <c r="F240" s="90"/>
      <c r="G240" s="91"/>
      <c r="H240" s="114"/>
      <c r="I240" s="131"/>
      <c r="J240" s="131"/>
    </row>
    <row r="241" spans="1:12" s="101" customFormat="1" x14ac:dyDescent="0.25">
      <c r="A241" s="53" t="s">
        <v>60</v>
      </c>
      <c r="B241" s="54" t="s">
        <v>559</v>
      </c>
      <c r="C241" s="94">
        <v>41815</v>
      </c>
      <c r="D241" s="94">
        <v>41947</v>
      </c>
      <c r="E241" s="95">
        <f>D241-C241</f>
        <v>132</v>
      </c>
      <c r="F241" s="96">
        <v>2200</v>
      </c>
      <c r="G241" s="97">
        <v>41947</v>
      </c>
      <c r="H241" s="106" t="s">
        <v>560</v>
      </c>
      <c r="I241" s="104" t="s">
        <v>561</v>
      </c>
      <c r="J241" s="104" t="s">
        <v>561</v>
      </c>
      <c r="K241" s="100"/>
      <c r="L241" s="100"/>
    </row>
    <row r="242" spans="1:12" s="101" customFormat="1" x14ac:dyDescent="0.25">
      <c r="A242" s="53" t="s">
        <v>115</v>
      </c>
      <c r="B242" s="54" t="s">
        <v>562</v>
      </c>
      <c r="C242" s="94">
        <v>41947</v>
      </c>
      <c r="D242" s="94">
        <v>41954</v>
      </c>
      <c r="E242" s="95">
        <f>D242-C242</f>
        <v>7</v>
      </c>
      <c r="F242" s="96">
        <v>4305</v>
      </c>
      <c r="G242" s="97">
        <v>41946</v>
      </c>
      <c r="H242" s="106" t="s">
        <v>563</v>
      </c>
      <c r="I242" s="104">
        <v>2</v>
      </c>
      <c r="J242" s="104"/>
      <c r="K242" s="100"/>
      <c r="L242" s="100"/>
    </row>
    <row r="243" spans="1:12" x14ac:dyDescent="0.25">
      <c r="A243" s="53" t="s">
        <v>60</v>
      </c>
      <c r="B243" s="54" t="s">
        <v>656</v>
      </c>
      <c r="C243" s="94">
        <v>41911</v>
      </c>
      <c r="D243" s="94">
        <v>41967</v>
      </c>
      <c r="E243" s="95">
        <f t="shared" ref="E243:E247" si="9">D243-C243</f>
        <v>56</v>
      </c>
      <c r="F243" s="96">
        <v>5890</v>
      </c>
      <c r="G243" s="97">
        <v>41967</v>
      </c>
      <c r="H243" s="116" t="s">
        <v>491</v>
      </c>
      <c r="I243" s="104">
        <v>4</v>
      </c>
      <c r="J243" s="163"/>
    </row>
    <row r="244" spans="1:12" x14ac:dyDescent="0.25">
      <c r="A244" s="53" t="s">
        <v>60</v>
      </c>
      <c r="B244" s="54" t="s">
        <v>657</v>
      </c>
      <c r="C244" s="94">
        <v>41911</v>
      </c>
      <c r="D244" s="94">
        <v>41967</v>
      </c>
      <c r="E244" s="95">
        <f t="shared" si="9"/>
        <v>56</v>
      </c>
      <c r="F244" s="408">
        <v>5890</v>
      </c>
      <c r="G244" s="97">
        <v>41967</v>
      </c>
      <c r="H244" s="116" t="s">
        <v>491</v>
      </c>
      <c r="I244" s="104">
        <v>4</v>
      </c>
      <c r="J244" s="163"/>
    </row>
    <row r="245" spans="1:12" x14ac:dyDescent="0.25">
      <c r="A245" s="53" t="s">
        <v>60</v>
      </c>
      <c r="B245" s="54" t="s">
        <v>658</v>
      </c>
      <c r="C245" s="94">
        <v>41911</v>
      </c>
      <c r="D245" s="94">
        <v>41967</v>
      </c>
      <c r="E245" s="95">
        <f t="shared" si="9"/>
        <v>56</v>
      </c>
      <c r="F245" s="408">
        <v>5890</v>
      </c>
      <c r="G245" s="97">
        <v>41967</v>
      </c>
      <c r="H245" s="116" t="s">
        <v>491</v>
      </c>
      <c r="I245" s="104">
        <v>4</v>
      </c>
      <c r="J245" s="163"/>
    </row>
    <row r="246" spans="1:12" x14ac:dyDescent="0.25">
      <c r="A246" s="53" t="s">
        <v>115</v>
      </c>
      <c r="B246" s="54" t="s">
        <v>47</v>
      </c>
      <c r="C246" s="94">
        <v>41967</v>
      </c>
      <c r="D246" s="94">
        <v>41969</v>
      </c>
      <c r="E246" s="95">
        <f t="shared" si="9"/>
        <v>2</v>
      </c>
      <c r="F246" s="408">
        <v>3633</v>
      </c>
      <c r="G246" s="97">
        <v>41969</v>
      </c>
      <c r="H246" s="106" t="s">
        <v>691</v>
      </c>
      <c r="I246" s="104">
        <v>2</v>
      </c>
      <c r="J246" s="163"/>
    </row>
    <row r="247" spans="1:12" x14ac:dyDescent="0.25">
      <c r="A247" s="53" t="s">
        <v>60</v>
      </c>
      <c r="B247" s="54" t="s">
        <v>659</v>
      </c>
      <c r="C247" s="94">
        <v>41929</v>
      </c>
      <c r="D247" s="94">
        <v>41974</v>
      </c>
      <c r="E247" s="95">
        <f t="shared" si="9"/>
        <v>45</v>
      </c>
      <c r="F247" s="408">
        <v>1365</v>
      </c>
      <c r="G247" s="97">
        <v>41943</v>
      </c>
      <c r="H247" s="116" t="s">
        <v>491</v>
      </c>
      <c r="I247" s="104">
        <v>1</v>
      </c>
      <c r="J247" s="163"/>
    </row>
    <row r="248" spans="1:12" x14ac:dyDescent="0.25">
      <c r="A248" s="45"/>
      <c r="B248" s="38"/>
      <c r="C248" s="47"/>
      <c r="D248" s="47"/>
      <c r="E248" s="95"/>
      <c r="F248" s="49"/>
      <c r="G248" s="50"/>
      <c r="H248" s="120"/>
      <c r="I248" s="163"/>
      <c r="J248" s="163"/>
    </row>
    <row r="249" spans="1:12" x14ac:dyDescent="0.25">
      <c r="A249" s="45"/>
      <c r="B249" s="38"/>
      <c r="C249" s="47"/>
      <c r="D249" s="47"/>
      <c r="E249" s="95"/>
      <c r="F249" s="49"/>
      <c r="G249" s="50"/>
      <c r="H249" s="120"/>
      <c r="I249" s="163"/>
      <c r="J249" s="163"/>
    </row>
    <row r="250" spans="1:12" x14ac:dyDescent="0.25">
      <c r="A250" s="37"/>
      <c r="B250" s="38"/>
      <c r="C250" s="55"/>
      <c r="D250" s="55"/>
      <c r="E250" s="95"/>
      <c r="F250" s="70"/>
      <c r="G250" s="69"/>
      <c r="H250" s="68"/>
      <c r="I250" s="133"/>
      <c r="J250" s="133"/>
    </row>
    <row r="251" spans="1:12" x14ac:dyDescent="0.25">
      <c r="A251" s="37"/>
      <c r="B251" s="38" t="s">
        <v>415</v>
      </c>
      <c r="C251" s="55"/>
      <c r="D251" s="55"/>
      <c r="E251" s="56"/>
      <c r="F251" s="152">
        <f>SUM(F241:F250)</f>
        <v>29173</v>
      </c>
      <c r="G251" s="58"/>
      <c r="H251" s="68"/>
      <c r="I251" s="133"/>
      <c r="J251" s="133"/>
    </row>
    <row r="252" spans="1:12" x14ac:dyDescent="0.25">
      <c r="A252" s="37"/>
      <c r="B252" s="38" t="s">
        <v>451</v>
      </c>
      <c r="C252" s="55"/>
      <c r="D252" s="55"/>
      <c r="E252" s="56"/>
      <c r="F252" s="152">
        <v>87200</v>
      </c>
      <c r="G252" s="58"/>
      <c r="H252" s="68"/>
      <c r="I252" s="133"/>
      <c r="J252" s="133"/>
    </row>
    <row r="253" spans="1:12" x14ac:dyDescent="0.25">
      <c r="A253" s="37"/>
      <c r="B253" s="38" t="s">
        <v>452</v>
      </c>
      <c r="C253" s="55"/>
      <c r="D253" s="55"/>
      <c r="E253" s="56"/>
      <c r="F253" s="112">
        <f>F251-F252</f>
        <v>-58027</v>
      </c>
      <c r="G253" s="69"/>
      <c r="H253" s="68"/>
      <c r="I253" s="133"/>
      <c r="J253" s="133"/>
    </row>
    <row r="254" spans="1:12" x14ac:dyDescent="0.25">
      <c r="A254" s="37"/>
      <c r="B254" s="38" t="s">
        <v>468</v>
      </c>
      <c r="C254" s="55"/>
      <c r="D254" s="55"/>
      <c r="E254" s="56"/>
      <c r="F254" s="126">
        <f>F233+F251</f>
        <v>432929.6</v>
      </c>
      <c r="G254" s="69"/>
      <c r="H254" s="68"/>
      <c r="I254" s="133"/>
      <c r="J254" s="133"/>
    </row>
    <row r="255" spans="1:12" x14ac:dyDescent="0.25">
      <c r="A255" s="37"/>
      <c r="B255" s="38" t="s">
        <v>469</v>
      </c>
      <c r="C255" s="55"/>
      <c r="D255" s="55"/>
      <c r="E255" s="56"/>
      <c r="F255" s="126">
        <f>F234+F252</f>
        <v>631206</v>
      </c>
      <c r="G255" s="69"/>
      <c r="H255" s="68"/>
      <c r="I255" s="133"/>
      <c r="J255" s="133"/>
    </row>
    <row r="256" spans="1:12" x14ac:dyDescent="0.25">
      <c r="A256" s="139"/>
      <c r="B256" s="140" t="s">
        <v>470</v>
      </c>
      <c r="C256" s="55"/>
      <c r="D256" s="55"/>
      <c r="E256" s="56"/>
      <c r="F256" s="112">
        <f>F254-F255</f>
        <v>-198276.40000000002</v>
      </c>
      <c r="G256" s="69"/>
      <c r="H256" s="68"/>
      <c r="I256" s="133"/>
      <c r="J256" s="133"/>
    </row>
    <row r="257" spans="1:12" x14ac:dyDescent="0.25">
      <c r="A257" s="37"/>
      <c r="B257" s="38"/>
      <c r="C257" s="55"/>
      <c r="D257" s="55"/>
      <c r="E257" s="56"/>
      <c r="F257" s="68"/>
      <c r="G257" s="69"/>
      <c r="H257" s="68"/>
      <c r="I257" s="133"/>
      <c r="J257" s="133"/>
    </row>
    <row r="258" spans="1:12" x14ac:dyDescent="0.25">
      <c r="A258" s="37"/>
      <c r="B258" s="38" t="s">
        <v>453</v>
      </c>
      <c r="C258" s="55"/>
      <c r="D258" s="55"/>
      <c r="E258" s="56"/>
      <c r="F258" s="68"/>
      <c r="G258" s="69"/>
      <c r="H258" s="68"/>
      <c r="I258" s="133"/>
      <c r="J258" s="133"/>
    </row>
    <row r="259" spans="1:12" ht="30" x14ac:dyDescent="0.25">
      <c r="A259" s="37"/>
      <c r="B259" s="38" t="s">
        <v>454</v>
      </c>
      <c r="C259" s="55"/>
      <c r="D259" s="55"/>
      <c r="E259" s="56"/>
      <c r="F259" s="113"/>
      <c r="G259" s="69"/>
      <c r="H259" s="68"/>
      <c r="I259" s="133"/>
      <c r="J259" s="133"/>
    </row>
    <row r="260" spans="1:12" x14ac:dyDescent="0.25">
      <c r="A260" s="37"/>
      <c r="B260" s="38"/>
      <c r="C260" s="55"/>
      <c r="D260" s="55"/>
      <c r="E260" s="56"/>
      <c r="F260" s="68"/>
      <c r="G260" s="69"/>
      <c r="H260" s="68"/>
      <c r="I260" s="133"/>
      <c r="J260" s="133"/>
    </row>
    <row r="261" spans="1:12" ht="15.75" x14ac:dyDescent="0.3">
      <c r="A261" s="86"/>
      <c r="B261" s="87" t="s">
        <v>564</v>
      </c>
      <c r="C261" s="88"/>
      <c r="D261" s="88"/>
      <c r="E261" s="89"/>
      <c r="F261" s="90"/>
      <c r="G261" s="91"/>
      <c r="H261" s="114"/>
      <c r="I261" s="93"/>
      <c r="J261" s="93"/>
    </row>
    <row r="262" spans="1:12" s="101" customFormat="1" x14ac:dyDescent="0.25">
      <c r="A262" s="53" t="s">
        <v>61</v>
      </c>
      <c r="B262" s="138" t="s">
        <v>565</v>
      </c>
      <c r="C262" s="94">
        <v>41843</v>
      </c>
      <c r="D262" s="105">
        <v>41899</v>
      </c>
      <c r="E262" s="95">
        <f>D262-C262</f>
        <v>56</v>
      </c>
      <c r="F262" s="96">
        <v>12400</v>
      </c>
      <c r="G262" s="97">
        <v>41988</v>
      </c>
      <c r="H262" s="116" t="s">
        <v>566</v>
      </c>
      <c r="I262" s="103" t="s">
        <v>535</v>
      </c>
      <c r="J262" s="103" t="s">
        <v>526</v>
      </c>
      <c r="K262" s="100"/>
      <c r="L262" s="100"/>
    </row>
    <row r="263" spans="1:12" s="101" customFormat="1" x14ac:dyDescent="0.25">
      <c r="A263" s="53" t="s">
        <v>61</v>
      </c>
      <c r="B263" s="138" t="s">
        <v>1139</v>
      </c>
      <c r="C263" s="94">
        <v>41830</v>
      </c>
      <c r="D263" s="105">
        <v>41936</v>
      </c>
      <c r="E263" s="95">
        <f t="shared" ref="E263:E277" si="10">D263-C263</f>
        <v>106</v>
      </c>
      <c r="F263" s="96">
        <v>4650</v>
      </c>
      <c r="G263" s="97">
        <v>42004</v>
      </c>
      <c r="H263" s="116" t="s">
        <v>491</v>
      </c>
      <c r="I263" s="132">
        <v>3</v>
      </c>
      <c r="J263" s="132" t="s">
        <v>526</v>
      </c>
      <c r="K263" s="100"/>
      <c r="L263" s="100"/>
    </row>
    <row r="264" spans="1:12" s="101" customFormat="1" x14ac:dyDescent="0.25">
      <c r="A264" s="53" t="s">
        <v>61</v>
      </c>
      <c r="B264" s="138" t="s">
        <v>1138</v>
      </c>
      <c r="C264" s="94">
        <v>41978</v>
      </c>
      <c r="D264" s="105">
        <v>41981</v>
      </c>
      <c r="E264" s="95">
        <f t="shared" si="10"/>
        <v>3</v>
      </c>
      <c r="F264" s="96">
        <v>2415</v>
      </c>
      <c r="G264" s="97">
        <v>41978</v>
      </c>
      <c r="H264" s="116" t="s">
        <v>491</v>
      </c>
      <c r="I264" s="132">
        <v>1</v>
      </c>
      <c r="J264" s="132" t="s">
        <v>516</v>
      </c>
      <c r="K264" s="100"/>
      <c r="L264" s="100"/>
    </row>
    <row r="265" spans="1:12" s="101" customFormat="1" x14ac:dyDescent="0.25">
      <c r="A265" s="53" t="s">
        <v>60</v>
      </c>
      <c r="B265" s="138" t="s">
        <v>1142</v>
      </c>
      <c r="C265" s="94">
        <v>41943</v>
      </c>
      <c r="D265" s="105">
        <v>41981</v>
      </c>
      <c r="E265" s="95">
        <f t="shared" si="10"/>
        <v>38</v>
      </c>
      <c r="F265" s="96">
        <v>4650</v>
      </c>
      <c r="G265" s="97">
        <v>42004</v>
      </c>
      <c r="H265" s="116" t="s">
        <v>491</v>
      </c>
      <c r="I265" s="132">
        <v>3</v>
      </c>
      <c r="J265" s="132" t="s">
        <v>526</v>
      </c>
      <c r="K265" s="100"/>
      <c r="L265" s="100"/>
    </row>
    <row r="266" spans="1:12" s="101" customFormat="1" x14ac:dyDescent="0.25">
      <c r="A266" s="53" t="s">
        <v>60</v>
      </c>
      <c r="B266" s="138" t="s">
        <v>1150</v>
      </c>
      <c r="C266" s="94">
        <v>41950</v>
      </c>
      <c r="D266" s="105">
        <v>41988</v>
      </c>
      <c r="E266" s="95">
        <f t="shared" si="10"/>
        <v>38</v>
      </c>
      <c r="F266" s="96">
        <v>1473</v>
      </c>
      <c r="G266" s="97">
        <v>42004</v>
      </c>
      <c r="H266" s="116" t="s">
        <v>491</v>
      </c>
      <c r="I266" s="132">
        <v>1</v>
      </c>
      <c r="J266" s="132" t="s">
        <v>526</v>
      </c>
      <c r="K266" s="100"/>
      <c r="L266" s="100"/>
    </row>
    <row r="267" spans="1:12" s="101" customFormat="1" x14ac:dyDescent="0.25">
      <c r="A267" s="53" t="s">
        <v>61</v>
      </c>
      <c r="B267" s="138" t="s">
        <v>692</v>
      </c>
      <c r="C267" s="94">
        <v>41975</v>
      </c>
      <c r="D267" s="105">
        <v>41983</v>
      </c>
      <c r="E267" s="95">
        <f t="shared" si="10"/>
        <v>8</v>
      </c>
      <c r="F267" s="96">
        <v>7750</v>
      </c>
      <c r="G267" s="97">
        <v>41983</v>
      </c>
      <c r="H267" s="116" t="s">
        <v>491</v>
      </c>
      <c r="I267" s="132">
        <v>5</v>
      </c>
      <c r="J267" s="132" t="s">
        <v>526</v>
      </c>
      <c r="K267" s="100"/>
      <c r="L267" s="100"/>
    </row>
    <row r="268" spans="1:12" s="101" customFormat="1" x14ac:dyDescent="0.25">
      <c r="A268" s="53" t="s">
        <v>60</v>
      </c>
      <c r="B268" s="54" t="s">
        <v>26</v>
      </c>
      <c r="C268" s="94">
        <v>41739</v>
      </c>
      <c r="D268" s="105">
        <v>41988</v>
      </c>
      <c r="E268" s="95">
        <f t="shared" si="10"/>
        <v>249</v>
      </c>
      <c r="F268" s="96">
        <v>1550</v>
      </c>
      <c r="G268" s="97">
        <v>42004</v>
      </c>
      <c r="H268" s="106" t="s">
        <v>1152</v>
      </c>
      <c r="I268" s="132">
        <v>1</v>
      </c>
      <c r="J268" s="132" t="s">
        <v>526</v>
      </c>
      <c r="K268" s="100"/>
      <c r="L268" s="100"/>
    </row>
    <row r="269" spans="1:12" s="101" customFormat="1" x14ac:dyDescent="0.25">
      <c r="A269" s="53" t="s">
        <v>61</v>
      </c>
      <c r="B269" s="138" t="s">
        <v>651</v>
      </c>
      <c r="C269" s="94">
        <v>41957</v>
      </c>
      <c r="D269" s="105">
        <v>41989</v>
      </c>
      <c r="E269" s="95">
        <f t="shared" si="10"/>
        <v>32</v>
      </c>
      <c r="F269" s="96">
        <v>1595</v>
      </c>
      <c r="G269" s="97">
        <v>41988</v>
      </c>
      <c r="H269" s="116" t="s">
        <v>491</v>
      </c>
      <c r="I269" s="132">
        <v>1</v>
      </c>
      <c r="J269" s="132" t="s">
        <v>526</v>
      </c>
      <c r="K269" s="100"/>
      <c r="L269" s="100"/>
    </row>
    <row r="270" spans="1:12" s="101" customFormat="1" x14ac:dyDescent="0.25">
      <c r="A270" s="53" t="s">
        <v>60</v>
      </c>
      <c r="B270" s="138" t="s">
        <v>1145</v>
      </c>
      <c r="C270" s="94">
        <v>41983</v>
      </c>
      <c r="D270" s="105">
        <v>41990</v>
      </c>
      <c r="E270" s="95">
        <f t="shared" si="10"/>
        <v>7</v>
      </c>
      <c r="F270" s="96">
        <v>1550</v>
      </c>
      <c r="G270" s="97">
        <v>42004</v>
      </c>
      <c r="H270" s="116" t="s">
        <v>491</v>
      </c>
      <c r="I270" s="132">
        <v>1</v>
      </c>
      <c r="J270" s="132" t="s">
        <v>526</v>
      </c>
      <c r="K270" s="100"/>
      <c r="L270" s="100"/>
    </row>
    <row r="271" spans="1:12" s="101" customFormat="1" x14ac:dyDescent="0.25">
      <c r="A271" s="53" t="s">
        <v>115</v>
      </c>
      <c r="B271" s="54" t="s">
        <v>660</v>
      </c>
      <c r="C271" s="94">
        <v>41967</v>
      </c>
      <c r="D271" s="105">
        <v>41991</v>
      </c>
      <c r="E271" s="95">
        <f t="shared" si="10"/>
        <v>24</v>
      </c>
      <c r="F271" s="96">
        <v>1932</v>
      </c>
      <c r="G271" s="97">
        <v>42004</v>
      </c>
      <c r="H271" s="106" t="s">
        <v>1161</v>
      </c>
      <c r="I271" s="132">
        <v>1</v>
      </c>
      <c r="J271" s="132" t="s">
        <v>516</v>
      </c>
      <c r="K271" s="100"/>
      <c r="L271" s="100"/>
    </row>
    <row r="272" spans="1:12" s="101" customFormat="1" x14ac:dyDescent="0.25">
      <c r="A272" s="53" t="s">
        <v>115</v>
      </c>
      <c r="B272" s="54" t="s">
        <v>648</v>
      </c>
      <c r="C272" s="94">
        <v>41960</v>
      </c>
      <c r="D272" s="105">
        <v>41991</v>
      </c>
      <c r="E272" s="95">
        <f t="shared" si="10"/>
        <v>31</v>
      </c>
      <c r="F272" s="96">
        <v>1932</v>
      </c>
      <c r="G272" s="97">
        <v>42004</v>
      </c>
      <c r="H272" s="106" t="s">
        <v>1161</v>
      </c>
      <c r="I272" s="132">
        <v>1</v>
      </c>
      <c r="J272" s="132" t="s">
        <v>516</v>
      </c>
      <c r="K272" s="100"/>
      <c r="L272" s="100"/>
    </row>
    <row r="273" spans="1:12" s="101" customFormat="1" x14ac:dyDescent="0.25">
      <c r="A273" s="53" t="s">
        <v>61</v>
      </c>
      <c r="B273" s="138" t="s">
        <v>1178</v>
      </c>
      <c r="C273" s="94">
        <v>41739</v>
      </c>
      <c r="D273" s="105">
        <v>41992</v>
      </c>
      <c r="E273" s="95">
        <f t="shared" si="10"/>
        <v>253</v>
      </c>
      <c r="F273" s="96">
        <f>2300+1550</f>
        <v>3850</v>
      </c>
      <c r="G273" s="97">
        <v>41980</v>
      </c>
      <c r="H273" s="116" t="s">
        <v>1164</v>
      </c>
      <c r="I273" s="132">
        <v>1</v>
      </c>
      <c r="J273" s="132" t="s">
        <v>516</v>
      </c>
      <c r="K273" s="100"/>
      <c r="L273" s="100"/>
    </row>
    <row r="274" spans="1:12" s="101" customFormat="1" x14ac:dyDescent="0.25">
      <c r="A274" s="53" t="s">
        <v>61</v>
      </c>
      <c r="B274" s="138" t="s">
        <v>649</v>
      </c>
      <c r="C274" s="94">
        <v>41907</v>
      </c>
      <c r="D274" s="105">
        <v>41995</v>
      </c>
      <c r="E274" s="95">
        <f t="shared" si="10"/>
        <v>88</v>
      </c>
      <c r="F274" s="96">
        <v>17050</v>
      </c>
      <c r="G274" s="97">
        <v>41992</v>
      </c>
      <c r="H274" s="116" t="s">
        <v>491</v>
      </c>
      <c r="I274" s="132">
        <v>11</v>
      </c>
      <c r="J274" s="132" t="s">
        <v>526</v>
      </c>
      <c r="K274" s="100"/>
      <c r="L274" s="100"/>
    </row>
    <row r="275" spans="1:12" s="101" customFormat="1" x14ac:dyDescent="0.25">
      <c r="A275" s="53" t="s">
        <v>60</v>
      </c>
      <c r="B275" s="138" t="s">
        <v>1144</v>
      </c>
      <c r="C275" s="94">
        <v>41983</v>
      </c>
      <c r="D275" s="105">
        <v>41996</v>
      </c>
      <c r="E275" s="95">
        <f t="shared" si="10"/>
        <v>13</v>
      </c>
      <c r="F275" s="96">
        <v>7750</v>
      </c>
      <c r="G275" s="97">
        <v>41990</v>
      </c>
      <c r="H275" s="116" t="s">
        <v>491</v>
      </c>
      <c r="I275" s="132">
        <f>7750/1550</f>
        <v>5</v>
      </c>
      <c r="J275" s="132" t="s">
        <v>526</v>
      </c>
      <c r="K275" s="100"/>
      <c r="L275" s="100"/>
    </row>
    <row r="276" spans="1:12" s="101" customFormat="1" x14ac:dyDescent="0.25">
      <c r="A276" s="53" t="s">
        <v>61</v>
      </c>
      <c r="B276" s="138" t="s">
        <v>1137</v>
      </c>
      <c r="C276" s="94">
        <v>41977</v>
      </c>
      <c r="D276" s="105">
        <v>41996</v>
      </c>
      <c r="E276" s="95">
        <f t="shared" si="10"/>
        <v>19</v>
      </c>
      <c r="F276" s="96">
        <v>1550</v>
      </c>
      <c r="G276" s="97">
        <v>41996</v>
      </c>
      <c r="H276" s="116" t="s">
        <v>491</v>
      </c>
      <c r="I276" s="132">
        <v>1</v>
      </c>
      <c r="J276" s="132" t="s">
        <v>516</v>
      </c>
      <c r="K276" s="100"/>
      <c r="L276" s="100"/>
    </row>
    <row r="277" spans="1:12" s="101" customFormat="1" x14ac:dyDescent="0.25">
      <c r="A277" s="53" t="s">
        <v>115</v>
      </c>
      <c r="B277" s="54" t="s">
        <v>680</v>
      </c>
      <c r="C277" s="94">
        <v>41968</v>
      </c>
      <c r="D277" s="105">
        <v>41997</v>
      </c>
      <c r="E277" s="95">
        <f t="shared" si="10"/>
        <v>29</v>
      </c>
      <c r="F277" s="96">
        <v>1932</v>
      </c>
      <c r="G277" s="97">
        <v>42004</v>
      </c>
      <c r="H277" s="106" t="s">
        <v>1170</v>
      </c>
      <c r="I277" s="132">
        <v>1</v>
      </c>
      <c r="J277" s="132" t="s">
        <v>516</v>
      </c>
      <c r="K277" s="100"/>
      <c r="L277" s="100"/>
    </row>
    <row r="278" spans="1:12" s="101" customFormat="1" x14ac:dyDescent="0.25">
      <c r="A278" s="53" t="s">
        <v>61</v>
      </c>
      <c r="B278" s="138" t="s">
        <v>650</v>
      </c>
      <c r="C278" s="94">
        <v>41921</v>
      </c>
      <c r="D278" s="105">
        <v>41997</v>
      </c>
      <c r="E278" s="95">
        <f>D278-C278</f>
        <v>76</v>
      </c>
      <c r="F278" s="96">
        <v>6200</v>
      </c>
      <c r="G278" s="97">
        <v>41989</v>
      </c>
      <c r="H278" s="116" t="s">
        <v>432</v>
      </c>
      <c r="I278" s="132">
        <v>4</v>
      </c>
      <c r="J278" s="132" t="s">
        <v>526</v>
      </c>
      <c r="K278" s="100"/>
      <c r="L278" s="100"/>
    </row>
    <row r="279" spans="1:12" s="101" customFormat="1" x14ac:dyDescent="0.25">
      <c r="A279" s="53" t="s">
        <v>60</v>
      </c>
      <c r="B279" s="54" t="s">
        <v>654</v>
      </c>
      <c r="C279" s="94">
        <v>41964</v>
      </c>
      <c r="D279" s="105">
        <v>42002</v>
      </c>
      <c r="E279" s="95">
        <f>D279-C279</f>
        <v>38</v>
      </c>
      <c r="F279" s="96">
        <v>1550</v>
      </c>
      <c r="G279" s="97">
        <v>41976</v>
      </c>
      <c r="H279" s="116" t="s">
        <v>432</v>
      </c>
      <c r="I279" s="132">
        <v>1</v>
      </c>
      <c r="J279" s="132" t="s">
        <v>526</v>
      </c>
      <c r="K279" s="100"/>
      <c r="L279" s="100"/>
    </row>
    <row r="280" spans="1:12" s="101" customFormat="1" x14ac:dyDescent="0.25">
      <c r="A280" s="53" t="s">
        <v>60</v>
      </c>
      <c r="B280" s="54" t="s">
        <v>1184</v>
      </c>
      <c r="C280" s="94">
        <v>41989</v>
      </c>
      <c r="D280" s="105">
        <v>42004</v>
      </c>
      <c r="E280" s="95">
        <f>D280-C280</f>
        <v>15</v>
      </c>
      <c r="F280" s="96">
        <v>2945</v>
      </c>
      <c r="G280" s="97">
        <v>42004</v>
      </c>
      <c r="H280" s="116" t="s">
        <v>432</v>
      </c>
      <c r="I280" s="132">
        <v>2</v>
      </c>
      <c r="J280" s="132" t="s">
        <v>526</v>
      </c>
      <c r="K280" s="100"/>
      <c r="L280" s="100"/>
    </row>
    <row r="281" spans="1:12" s="101" customFormat="1" x14ac:dyDescent="0.25">
      <c r="A281" s="53" t="s">
        <v>61</v>
      </c>
      <c r="B281" s="54" t="s">
        <v>1190</v>
      </c>
      <c r="C281" s="94">
        <v>41994</v>
      </c>
      <c r="D281" s="105">
        <v>42004</v>
      </c>
      <c r="E281" s="95">
        <f>D281-C281</f>
        <v>10</v>
      </c>
      <c r="F281" s="96">
        <v>1550</v>
      </c>
      <c r="G281" s="97">
        <v>42004</v>
      </c>
      <c r="H281" s="116" t="s">
        <v>1191</v>
      </c>
      <c r="I281" s="132">
        <v>1</v>
      </c>
      <c r="J281" s="132" t="s">
        <v>526</v>
      </c>
      <c r="K281" s="100"/>
      <c r="L281" s="100"/>
    </row>
    <row r="282" spans="1:12" s="101" customFormat="1" x14ac:dyDescent="0.25">
      <c r="A282" s="53"/>
      <c r="B282" s="54"/>
      <c r="C282" s="94"/>
      <c r="D282" s="105"/>
      <c r="E282" s="95"/>
      <c r="F282" s="96"/>
      <c r="G282" s="97"/>
      <c r="H282" s="116"/>
      <c r="I282" s="132"/>
      <c r="J282" s="132"/>
      <c r="K282" s="100"/>
      <c r="L282" s="100"/>
    </row>
    <row r="283" spans="1:12" s="101" customFormat="1" x14ac:dyDescent="0.25">
      <c r="A283" s="53"/>
      <c r="B283" s="54"/>
      <c r="C283" s="94"/>
      <c r="D283" s="105"/>
      <c r="E283" s="95"/>
      <c r="F283" s="96"/>
      <c r="G283" s="97"/>
      <c r="H283" s="116"/>
      <c r="I283" s="132"/>
      <c r="J283" s="132"/>
      <c r="K283" s="100"/>
      <c r="L283" s="100"/>
    </row>
    <row r="284" spans="1:12" x14ac:dyDescent="0.25">
      <c r="A284" s="37"/>
      <c r="B284" s="38"/>
      <c r="C284" s="55"/>
      <c r="D284" s="55"/>
      <c r="E284" s="95"/>
      <c r="F284" s="70"/>
      <c r="G284" s="69"/>
      <c r="H284" s="68"/>
      <c r="I284" s="133"/>
      <c r="J284" s="133"/>
    </row>
    <row r="285" spans="1:12" x14ac:dyDescent="0.25">
      <c r="A285" s="37"/>
      <c r="B285" s="38" t="s">
        <v>429</v>
      </c>
      <c r="C285" s="55"/>
      <c r="D285" s="55"/>
      <c r="E285" s="56"/>
      <c r="F285" s="152">
        <f>SUM(F262:F284)</f>
        <v>86274</v>
      </c>
      <c r="G285" s="58"/>
      <c r="H285" s="68"/>
      <c r="I285" s="133"/>
      <c r="J285" s="133"/>
    </row>
    <row r="286" spans="1:12" x14ac:dyDescent="0.25">
      <c r="A286" s="37"/>
      <c r="B286" s="38" t="s">
        <v>451</v>
      </c>
      <c r="C286" s="55"/>
      <c r="D286" s="55"/>
      <c r="E286" s="56"/>
      <c r="F286" s="152">
        <v>117300</v>
      </c>
      <c r="G286" s="58"/>
      <c r="H286" s="68"/>
      <c r="I286" s="133"/>
      <c r="J286" s="133"/>
    </row>
    <row r="287" spans="1:12" x14ac:dyDescent="0.25">
      <c r="A287" s="37"/>
      <c r="B287" s="38" t="s">
        <v>452</v>
      </c>
      <c r="C287" s="55"/>
      <c r="D287" s="55"/>
      <c r="E287" s="56"/>
      <c r="F287" s="112">
        <f>F285-F286</f>
        <v>-31026</v>
      </c>
      <c r="G287" s="69"/>
      <c r="H287" s="68"/>
      <c r="I287" s="133"/>
      <c r="J287" s="133"/>
    </row>
    <row r="288" spans="1:12" x14ac:dyDescent="0.25">
      <c r="A288" s="37"/>
      <c r="B288" s="38" t="s">
        <v>468</v>
      </c>
      <c r="C288" s="55"/>
      <c r="D288" s="55"/>
      <c r="E288" s="56"/>
      <c r="F288" s="126">
        <f>F254+F285</f>
        <v>519203.6</v>
      </c>
      <c r="G288" s="69"/>
      <c r="H288" s="68"/>
      <c r="I288" s="133"/>
      <c r="J288" s="133"/>
    </row>
    <row r="289" spans="1:12" x14ac:dyDescent="0.25">
      <c r="A289" s="37"/>
      <c r="B289" s="38" t="s">
        <v>469</v>
      </c>
      <c r="C289" s="55"/>
      <c r="D289" s="55"/>
      <c r="E289" s="56"/>
      <c r="F289" s="126">
        <f>F255+F286</f>
        <v>748506</v>
      </c>
      <c r="G289" s="69"/>
      <c r="H289" s="68"/>
      <c r="I289" s="133"/>
      <c r="J289" s="133"/>
    </row>
    <row r="290" spans="1:12" x14ac:dyDescent="0.25">
      <c r="A290" s="139"/>
      <c r="B290" s="140" t="s">
        <v>470</v>
      </c>
      <c r="C290" s="55"/>
      <c r="D290" s="55"/>
      <c r="E290" s="56"/>
      <c r="F290" s="112">
        <f>F288-F289</f>
        <v>-229302.40000000002</v>
      </c>
      <c r="G290" s="69"/>
      <c r="H290" s="68"/>
      <c r="I290" s="133"/>
      <c r="J290" s="133"/>
    </row>
    <row r="291" spans="1:12" x14ac:dyDescent="0.25">
      <c r="A291" s="37"/>
      <c r="B291" s="38"/>
      <c r="C291" s="55"/>
      <c r="D291" s="55"/>
      <c r="E291" s="56"/>
      <c r="F291" s="68"/>
      <c r="G291" s="69"/>
      <c r="H291" s="68"/>
      <c r="I291" s="133"/>
      <c r="J291" s="133"/>
    </row>
    <row r="292" spans="1:12" x14ac:dyDescent="0.25">
      <c r="A292" s="37"/>
      <c r="B292" s="38" t="s">
        <v>453</v>
      </c>
      <c r="C292" s="55"/>
      <c r="D292" s="55"/>
      <c r="E292" s="56"/>
      <c r="F292" s="68"/>
      <c r="G292" s="69"/>
      <c r="H292" s="68"/>
      <c r="I292" s="133"/>
      <c r="J292" s="133"/>
    </row>
    <row r="293" spans="1:12" ht="30" x14ac:dyDescent="0.25">
      <c r="A293" s="37"/>
      <c r="B293" s="38" t="s">
        <v>454</v>
      </c>
      <c r="C293" s="55"/>
      <c r="D293" s="55"/>
      <c r="E293" s="56"/>
      <c r="F293" s="113"/>
      <c r="G293" s="69"/>
      <c r="H293" s="68"/>
      <c r="I293" s="133"/>
      <c r="J293" s="133"/>
    </row>
    <row r="294" spans="1:12" x14ac:dyDescent="0.25">
      <c r="A294" s="37"/>
      <c r="B294" s="38"/>
      <c r="C294" s="55"/>
      <c r="D294" s="55"/>
      <c r="E294" s="56"/>
      <c r="F294" s="68"/>
      <c r="G294" s="69"/>
      <c r="H294" s="68"/>
      <c r="I294" s="133"/>
      <c r="J294" s="133"/>
    </row>
    <row r="295" spans="1:12" s="65" customFormat="1" ht="15.75" thickBot="1" x14ac:dyDescent="0.3">
      <c r="A295" s="184"/>
      <c r="B295" s="185"/>
      <c r="C295" s="186"/>
      <c r="D295" s="186"/>
      <c r="E295" s="187"/>
      <c r="F295" s="188"/>
      <c r="G295" s="76"/>
      <c r="H295" s="188"/>
      <c r="I295" s="189"/>
      <c r="J295" s="189"/>
    </row>
    <row r="296" spans="1:12" s="199" customFormat="1" ht="46.5" thickBot="1" x14ac:dyDescent="0.3">
      <c r="A296" s="190" t="s">
        <v>388</v>
      </c>
      <c r="B296" s="191" t="s">
        <v>389</v>
      </c>
      <c r="C296" s="192" t="s">
        <v>390</v>
      </c>
      <c r="D296" s="192" t="s">
        <v>391</v>
      </c>
      <c r="E296" s="193" t="s">
        <v>392</v>
      </c>
      <c r="F296" s="194" t="s">
        <v>393</v>
      </c>
      <c r="G296" s="195" t="s">
        <v>2</v>
      </c>
      <c r="H296" s="196" t="s">
        <v>394</v>
      </c>
      <c r="I296" s="197" t="s">
        <v>395</v>
      </c>
      <c r="J296" s="198" t="s">
        <v>396</v>
      </c>
    </row>
    <row r="297" spans="1:12" s="199" customFormat="1" ht="15.75" thickBot="1" x14ac:dyDescent="0.3">
      <c r="A297" s="200"/>
      <c r="B297" s="201"/>
      <c r="C297" s="202"/>
      <c r="D297" s="202"/>
      <c r="E297" s="203"/>
      <c r="F297" s="204"/>
      <c r="G297" s="205"/>
      <c r="H297" s="206"/>
      <c r="I297" s="207"/>
      <c r="J297" s="208"/>
    </row>
    <row r="298" spans="1:12" ht="16.5" x14ac:dyDescent="0.3">
      <c r="A298" s="209"/>
      <c r="B298" s="210">
        <v>42005</v>
      </c>
      <c r="C298" s="211"/>
      <c r="D298" s="211"/>
      <c r="E298" s="212"/>
      <c r="F298" s="213"/>
      <c r="G298" s="214"/>
      <c r="H298" s="215"/>
      <c r="I298" s="216"/>
      <c r="J298" s="216"/>
    </row>
    <row r="299" spans="1:12" s="178" customFormat="1" ht="27.75" x14ac:dyDescent="0.25">
      <c r="A299" s="53" t="s">
        <v>115</v>
      </c>
      <c r="B299" s="155" t="s">
        <v>567</v>
      </c>
      <c r="C299" s="156">
        <v>41862</v>
      </c>
      <c r="D299" s="217">
        <v>41941</v>
      </c>
      <c r="E299" s="145">
        <f>D299-C299</f>
        <v>79</v>
      </c>
      <c r="F299" s="158">
        <v>1701</v>
      </c>
      <c r="G299" s="218">
        <v>42005</v>
      </c>
      <c r="H299" s="172" t="s">
        <v>1195</v>
      </c>
      <c r="I299" s="167">
        <v>1</v>
      </c>
      <c r="J299" s="167" t="s">
        <v>516</v>
      </c>
      <c r="K299" s="177"/>
      <c r="L299" s="177"/>
    </row>
    <row r="300" spans="1:12" x14ac:dyDescent="0.25">
      <c r="A300" s="53" t="s">
        <v>115</v>
      </c>
      <c r="B300" s="54" t="s">
        <v>1165</v>
      </c>
      <c r="C300" s="94">
        <v>41927</v>
      </c>
      <c r="D300" s="94">
        <v>41976</v>
      </c>
      <c r="E300" s="145">
        <f>D300-C300</f>
        <v>49</v>
      </c>
      <c r="F300" s="96">
        <v>2415</v>
      </c>
      <c r="G300" s="219">
        <v>42005</v>
      </c>
      <c r="H300" s="106" t="s">
        <v>693</v>
      </c>
      <c r="I300" s="104">
        <v>1</v>
      </c>
      <c r="J300" s="167" t="s">
        <v>516</v>
      </c>
    </row>
    <row r="301" spans="1:12" x14ac:dyDescent="0.25">
      <c r="A301" s="53" t="s">
        <v>115</v>
      </c>
      <c r="B301" s="54" t="s">
        <v>1146</v>
      </c>
      <c r="C301" s="94">
        <v>41983</v>
      </c>
      <c r="D301" s="94">
        <v>41990</v>
      </c>
      <c r="E301" s="145">
        <f t="shared" ref="E301:E303" si="11">D301-C301</f>
        <v>7</v>
      </c>
      <c r="F301" s="96">
        <v>1365</v>
      </c>
      <c r="G301" s="219">
        <v>42005</v>
      </c>
      <c r="H301" s="106" t="s">
        <v>693</v>
      </c>
      <c r="I301" s="104">
        <v>1</v>
      </c>
      <c r="J301" s="167" t="s">
        <v>516</v>
      </c>
    </row>
    <row r="302" spans="1:12" s="101" customFormat="1" x14ac:dyDescent="0.25">
      <c r="A302" s="53" t="s">
        <v>115</v>
      </c>
      <c r="B302" s="54" t="s">
        <v>54</v>
      </c>
      <c r="C302" s="94">
        <v>41988</v>
      </c>
      <c r="D302" s="105">
        <v>41992</v>
      </c>
      <c r="E302" s="95">
        <f t="shared" si="11"/>
        <v>4</v>
      </c>
      <c r="F302" s="96">
        <v>1932</v>
      </c>
      <c r="G302" s="219">
        <v>42005</v>
      </c>
      <c r="H302" s="106" t="s">
        <v>1162</v>
      </c>
      <c r="I302" s="132">
        <v>1</v>
      </c>
      <c r="J302" s="132" t="s">
        <v>516</v>
      </c>
      <c r="K302" s="100"/>
      <c r="L302" s="100"/>
    </row>
    <row r="303" spans="1:12" s="101" customFormat="1" ht="30" x14ac:dyDescent="0.25">
      <c r="A303" s="53" t="s">
        <v>115</v>
      </c>
      <c r="B303" s="54" t="s">
        <v>1193</v>
      </c>
      <c r="C303" s="94">
        <v>41964</v>
      </c>
      <c r="D303" s="105">
        <v>42018</v>
      </c>
      <c r="E303" s="95">
        <f t="shared" si="11"/>
        <v>54</v>
      </c>
      <c r="F303" s="96">
        <v>840</v>
      </c>
      <c r="G303" s="219">
        <v>42005</v>
      </c>
      <c r="H303" s="106" t="s">
        <v>1194</v>
      </c>
      <c r="I303" s="132">
        <v>1</v>
      </c>
      <c r="J303" s="132" t="s">
        <v>516</v>
      </c>
      <c r="K303" s="100"/>
      <c r="L303" s="100"/>
    </row>
    <row r="304" spans="1:12" s="101" customFormat="1" x14ac:dyDescent="0.25">
      <c r="A304" s="53" t="s">
        <v>115</v>
      </c>
      <c r="B304" s="54" t="s">
        <v>1196</v>
      </c>
      <c r="C304" s="94">
        <v>41955</v>
      </c>
      <c r="D304" s="105">
        <v>41996</v>
      </c>
      <c r="E304" s="95">
        <f>D304-C304</f>
        <v>41</v>
      </c>
      <c r="F304" s="96">
        <v>2173.5</v>
      </c>
      <c r="G304" s="219">
        <v>41640</v>
      </c>
      <c r="H304" s="106" t="s">
        <v>1169</v>
      </c>
      <c r="I304" s="132">
        <v>1</v>
      </c>
      <c r="J304" s="132" t="s">
        <v>516</v>
      </c>
      <c r="K304" s="100"/>
      <c r="L304" s="100"/>
    </row>
    <row r="305" spans="1:12" s="101" customFormat="1" x14ac:dyDescent="0.25">
      <c r="A305" s="53" t="s">
        <v>60</v>
      </c>
      <c r="B305" s="54" t="s">
        <v>652</v>
      </c>
      <c r="C305" s="94">
        <v>41862</v>
      </c>
      <c r="D305" s="105">
        <v>42020</v>
      </c>
      <c r="E305" s="95">
        <f>D305-C305</f>
        <v>158</v>
      </c>
      <c r="F305" s="96">
        <v>4650</v>
      </c>
      <c r="G305" s="219">
        <v>41654</v>
      </c>
      <c r="H305" s="116" t="s">
        <v>432</v>
      </c>
      <c r="I305" s="132">
        <v>3</v>
      </c>
      <c r="J305" s="132" t="s">
        <v>526</v>
      </c>
      <c r="K305" s="100"/>
      <c r="L305" s="100"/>
    </row>
    <row r="306" spans="1:12" s="101" customFormat="1" x14ac:dyDescent="0.25">
      <c r="A306" s="53" t="s">
        <v>115</v>
      </c>
      <c r="B306" s="54" t="s">
        <v>519</v>
      </c>
      <c r="C306" s="94">
        <v>41981</v>
      </c>
      <c r="D306" s="105">
        <v>42013</v>
      </c>
      <c r="E306" s="95">
        <f>D306-C306</f>
        <v>32</v>
      </c>
      <c r="F306" s="96">
        <v>1365</v>
      </c>
      <c r="G306" s="219">
        <v>42013</v>
      </c>
      <c r="H306" s="106" t="s">
        <v>1169</v>
      </c>
      <c r="I306" s="132">
        <v>1</v>
      </c>
      <c r="J306" s="132" t="s">
        <v>516</v>
      </c>
      <c r="K306" s="100"/>
      <c r="L306" s="100"/>
    </row>
    <row r="307" spans="1:12" s="101" customFormat="1" ht="19.149999999999999" customHeight="1" x14ac:dyDescent="0.25">
      <c r="A307" s="53" t="s">
        <v>115</v>
      </c>
      <c r="B307" s="417" t="s">
        <v>647</v>
      </c>
      <c r="C307" s="94">
        <v>41918</v>
      </c>
      <c r="D307" s="105">
        <v>42005</v>
      </c>
      <c r="E307" s="95">
        <f>D307-C307</f>
        <v>87</v>
      </c>
      <c r="F307" s="96">
        <f>2415+840</f>
        <v>3255</v>
      </c>
      <c r="G307" s="219">
        <v>42005</v>
      </c>
      <c r="H307" s="106" t="s">
        <v>1197</v>
      </c>
      <c r="I307" s="132">
        <v>2</v>
      </c>
      <c r="J307" s="132" t="s">
        <v>516</v>
      </c>
      <c r="K307" s="100"/>
      <c r="L307" s="100"/>
    </row>
    <row r="308" spans="1:12" s="101" customFormat="1" x14ac:dyDescent="0.25">
      <c r="A308" s="53" t="s">
        <v>60</v>
      </c>
      <c r="B308" s="54" t="s">
        <v>1013</v>
      </c>
      <c r="C308" s="94">
        <v>41792</v>
      </c>
      <c r="D308" s="105">
        <v>42027</v>
      </c>
      <c r="E308" s="95">
        <f>D308-C308</f>
        <v>235</v>
      </c>
      <c r="F308" s="96">
        <f>5900+2200</f>
        <v>8100</v>
      </c>
      <c r="G308" s="219">
        <v>42027</v>
      </c>
      <c r="H308" s="116" t="s">
        <v>432</v>
      </c>
      <c r="I308" s="132">
        <v>3</v>
      </c>
      <c r="J308" s="132" t="s">
        <v>516</v>
      </c>
      <c r="K308" s="100"/>
      <c r="L308" s="100"/>
    </row>
    <row r="309" spans="1:12" s="101" customFormat="1" x14ac:dyDescent="0.25">
      <c r="A309" s="53" t="s">
        <v>115</v>
      </c>
      <c r="B309" s="54" t="s">
        <v>1198</v>
      </c>
      <c r="C309" s="94"/>
      <c r="D309" s="105">
        <v>42030</v>
      </c>
      <c r="E309" s="95"/>
      <c r="F309" s="96">
        <v>840</v>
      </c>
      <c r="G309" s="219">
        <v>42005</v>
      </c>
      <c r="H309" s="106" t="s">
        <v>693</v>
      </c>
      <c r="I309" s="132">
        <v>1</v>
      </c>
      <c r="J309" s="132" t="s">
        <v>516</v>
      </c>
      <c r="K309" s="100"/>
      <c r="L309" s="100"/>
    </row>
    <row r="310" spans="1:12" s="101" customFormat="1" ht="30" x14ac:dyDescent="0.25">
      <c r="A310" s="53" t="s">
        <v>60</v>
      </c>
      <c r="B310" s="406" t="s">
        <v>653</v>
      </c>
      <c r="C310" s="94">
        <v>41922</v>
      </c>
      <c r="D310" s="105">
        <v>42040</v>
      </c>
      <c r="E310" s="95">
        <f>D310-C310</f>
        <v>118</v>
      </c>
      <c r="F310" s="96">
        <v>1550</v>
      </c>
      <c r="G310" s="219">
        <v>42034</v>
      </c>
      <c r="H310" s="116" t="s">
        <v>1208</v>
      </c>
      <c r="I310" s="132">
        <v>1</v>
      </c>
      <c r="J310" s="132" t="s">
        <v>526</v>
      </c>
      <c r="K310" s="100"/>
      <c r="L310" s="100"/>
    </row>
    <row r="311" spans="1:12" x14ac:dyDescent="0.25">
      <c r="A311" s="37"/>
      <c r="B311" s="38"/>
      <c r="C311" s="55"/>
      <c r="D311" s="55"/>
      <c r="E311" s="95"/>
      <c r="F311" s="70"/>
      <c r="G311" s="219"/>
      <c r="H311" s="68"/>
      <c r="I311" s="133"/>
      <c r="J311" s="133"/>
    </row>
    <row r="312" spans="1:12" x14ac:dyDescent="0.25">
      <c r="A312" s="37"/>
      <c r="B312" s="38" t="s">
        <v>450</v>
      </c>
      <c r="C312" s="55"/>
      <c r="D312" s="55"/>
      <c r="E312" s="56"/>
      <c r="F312" s="152">
        <f>SUM(F299:F311)</f>
        <v>30186.5</v>
      </c>
      <c r="G312" s="221"/>
      <c r="H312" s="68"/>
      <c r="I312" s="133"/>
      <c r="J312" s="133"/>
    </row>
    <row r="313" spans="1:12" x14ac:dyDescent="0.25">
      <c r="A313" s="37"/>
      <c r="B313" s="38" t="s">
        <v>451</v>
      </c>
      <c r="C313" s="55"/>
      <c r="D313" s="55"/>
      <c r="E313" s="56"/>
      <c r="F313" s="152"/>
      <c r="G313" s="221"/>
      <c r="H313" s="68"/>
      <c r="I313" s="133"/>
      <c r="J313" s="133"/>
    </row>
    <row r="314" spans="1:12" x14ac:dyDescent="0.25">
      <c r="A314" s="37"/>
      <c r="B314" s="38" t="s">
        <v>452</v>
      </c>
      <c r="C314" s="55"/>
      <c r="D314" s="55"/>
      <c r="E314" s="56"/>
      <c r="F314" s="112">
        <f>F312-F313</f>
        <v>30186.5</v>
      </c>
      <c r="G314" s="220"/>
      <c r="H314" s="68"/>
      <c r="I314" s="133"/>
      <c r="J314" s="133"/>
    </row>
    <row r="315" spans="1:12" x14ac:dyDescent="0.25">
      <c r="A315" s="37"/>
      <c r="B315" s="38" t="s">
        <v>468</v>
      </c>
      <c r="C315" s="55"/>
      <c r="D315" s="55"/>
      <c r="E315" s="56"/>
      <c r="F315" s="126">
        <f>F293+F312</f>
        <v>30186.5</v>
      </c>
      <c r="G315" s="220"/>
      <c r="H315" s="68"/>
      <c r="I315" s="133"/>
      <c r="J315" s="133"/>
    </row>
    <row r="316" spans="1:12" x14ac:dyDescent="0.25">
      <c r="A316" s="37"/>
      <c r="B316" s="38" t="s">
        <v>469</v>
      </c>
      <c r="C316" s="55"/>
      <c r="D316" s="55"/>
      <c r="E316" s="56"/>
      <c r="F316" s="126">
        <f>F294+F313</f>
        <v>0</v>
      </c>
      <c r="G316" s="220"/>
      <c r="H316" s="68"/>
      <c r="I316" s="133"/>
      <c r="J316" s="133"/>
    </row>
    <row r="317" spans="1:12" x14ac:dyDescent="0.25">
      <c r="A317" s="139"/>
      <c r="B317" s="140" t="s">
        <v>470</v>
      </c>
      <c r="C317" s="55"/>
      <c r="D317" s="55"/>
      <c r="E317" s="56"/>
      <c r="F317" s="112">
        <f>F315-F316</f>
        <v>30186.5</v>
      </c>
      <c r="G317" s="220"/>
      <c r="H317" s="68"/>
      <c r="I317" s="133"/>
      <c r="J317" s="133"/>
    </row>
    <row r="318" spans="1:12" x14ac:dyDescent="0.25">
      <c r="A318" s="37"/>
      <c r="B318" s="38"/>
      <c r="C318" s="55"/>
      <c r="D318" s="55"/>
      <c r="E318" s="56"/>
      <c r="F318" s="68"/>
      <c r="G318" s="220"/>
      <c r="H318" s="68"/>
      <c r="I318" s="133"/>
      <c r="J318" s="133"/>
    </row>
    <row r="319" spans="1:12" x14ac:dyDescent="0.25">
      <c r="A319" s="37"/>
      <c r="B319" s="38" t="s">
        <v>453</v>
      </c>
      <c r="C319" s="55"/>
      <c r="D319" s="55"/>
      <c r="E319" s="56"/>
      <c r="F319" s="68"/>
      <c r="G319" s="220"/>
      <c r="H319" s="68"/>
      <c r="I319" s="133"/>
      <c r="J319" s="133"/>
    </row>
    <row r="320" spans="1:12" ht="30" x14ac:dyDescent="0.25">
      <c r="A320" s="37"/>
      <c r="B320" s="38" t="s">
        <v>454</v>
      </c>
      <c r="C320" s="55"/>
      <c r="D320" s="55"/>
      <c r="E320" s="56"/>
      <c r="F320" s="113"/>
      <c r="G320" s="220"/>
      <c r="H320" s="68"/>
      <c r="I320" s="133"/>
      <c r="J320" s="133"/>
      <c r="K320" s="3"/>
      <c r="L320" s="3"/>
    </row>
    <row r="321" spans="1:12" x14ac:dyDescent="0.25">
      <c r="A321" s="222"/>
      <c r="B321" s="25"/>
      <c r="C321" s="55"/>
      <c r="D321" s="55"/>
      <c r="E321" s="56"/>
      <c r="F321" s="68"/>
      <c r="G321" s="223"/>
      <c r="H321" s="68"/>
      <c r="I321" s="133"/>
      <c r="J321" s="133"/>
      <c r="K321" s="3"/>
      <c r="L321" s="3"/>
    </row>
    <row r="322" spans="1:12" ht="16.5" x14ac:dyDescent="0.3">
      <c r="A322" s="209"/>
      <c r="B322" s="210">
        <v>42036</v>
      </c>
      <c r="C322" s="211"/>
      <c r="D322" s="211"/>
      <c r="E322" s="212"/>
      <c r="F322" s="213"/>
      <c r="G322" s="214"/>
      <c r="H322" s="215"/>
      <c r="I322" s="216"/>
      <c r="J322" s="216"/>
    </row>
    <row r="323" spans="1:12" s="178" customFormat="1" ht="30" x14ac:dyDescent="0.25">
      <c r="A323" s="53" t="s">
        <v>60</v>
      </c>
      <c r="B323" s="155" t="s">
        <v>1234</v>
      </c>
      <c r="C323" s="156">
        <v>41913</v>
      </c>
      <c r="D323" s="165">
        <v>42045</v>
      </c>
      <c r="E323" s="145">
        <f>D323-C323</f>
        <v>132</v>
      </c>
      <c r="F323" s="158">
        <v>840</v>
      </c>
      <c r="G323" s="218">
        <v>41640</v>
      </c>
      <c r="H323" s="172" t="s">
        <v>1235</v>
      </c>
      <c r="I323" s="167">
        <v>1</v>
      </c>
      <c r="J323" s="167" t="s">
        <v>1236</v>
      </c>
      <c r="K323" s="177"/>
      <c r="L323" s="177"/>
    </row>
    <row r="324" spans="1:12" x14ac:dyDescent="0.25">
      <c r="A324" s="53" t="s">
        <v>115</v>
      </c>
      <c r="B324" s="54" t="s">
        <v>1237</v>
      </c>
      <c r="C324" s="94">
        <v>42045</v>
      </c>
      <c r="D324" s="94">
        <v>42046</v>
      </c>
      <c r="E324" s="145">
        <f>D324-C324</f>
        <v>1</v>
      </c>
      <c r="F324" s="96">
        <v>1595</v>
      </c>
      <c r="G324" s="219">
        <v>42018</v>
      </c>
      <c r="H324" s="106" t="s">
        <v>1162</v>
      </c>
      <c r="I324" s="104">
        <v>1</v>
      </c>
      <c r="J324" s="167" t="s">
        <v>526</v>
      </c>
    </row>
    <row r="325" spans="1:12" x14ac:dyDescent="0.25">
      <c r="A325" s="53"/>
      <c r="B325" s="54"/>
      <c r="C325" s="94"/>
      <c r="D325" s="94"/>
      <c r="E325" s="145">
        <f t="shared" ref="E325:E327" si="12">D325-C325</f>
        <v>0</v>
      </c>
      <c r="F325" s="96"/>
      <c r="G325" s="219"/>
      <c r="H325" s="106"/>
      <c r="I325" s="104"/>
      <c r="J325" s="167"/>
    </row>
    <row r="326" spans="1:12" s="101" customFormat="1" x14ac:dyDescent="0.25">
      <c r="A326" s="53"/>
      <c r="B326" s="54"/>
      <c r="C326" s="94"/>
      <c r="D326" s="105"/>
      <c r="E326" s="95">
        <f t="shared" si="12"/>
        <v>0</v>
      </c>
      <c r="F326" s="96"/>
      <c r="G326" s="219"/>
      <c r="H326" s="106"/>
      <c r="I326" s="132"/>
      <c r="J326" s="132"/>
      <c r="K326" s="100"/>
      <c r="L326" s="100"/>
    </row>
    <row r="327" spans="1:12" s="101" customFormat="1" x14ac:dyDescent="0.25">
      <c r="A327" s="53"/>
      <c r="B327" s="54"/>
      <c r="C327" s="94"/>
      <c r="D327" s="105"/>
      <c r="E327" s="95">
        <f t="shared" si="12"/>
        <v>0</v>
      </c>
      <c r="F327" s="96"/>
      <c r="G327" s="219"/>
      <c r="H327" s="106"/>
      <c r="I327" s="132"/>
      <c r="J327" s="132"/>
      <c r="K327" s="100"/>
      <c r="L327" s="100"/>
    </row>
    <row r="328" spans="1:12" s="101" customFormat="1" x14ac:dyDescent="0.25">
      <c r="A328" s="53"/>
      <c r="B328" s="54"/>
      <c r="C328" s="94"/>
      <c r="D328" s="105"/>
      <c r="E328" s="95">
        <f>D328-C328</f>
        <v>0</v>
      </c>
      <c r="F328" s="96"/>
      <c r="G328" s="219"/>
      <c r="H328" s="106"/>
      <c r="I328" s="132"/>
      <c r="J328" s="132"/>
      <c r="K328" s="100"/>
      <c r="L328" s="100"/>
    </row>
    <row r="329" spans="1:12" s="101" customFormat="1" x14ac:dyDescent="0.25">
      <c r="A329" s="53"/>
      <c r="B329" s="54"/>
      <c r="C329" s="94"/>
      <c r="D329" s="105"/>
      <c r="E329" s="95">
        <f>D329-C329</f>
        <v>0</v>
      </c>
      <c r="F329" s="96"/>
      <c r="G329" s="219"/>
      <c r="H329" s="116"/>
      <c r="I329" s="132"/>
      <c r="J329" s="132"/>
      <c r="K329" s="100"/>
      <c r="L329" s="100"/>
    </row>
    <row r="330" spans="1:12" s="101" customFormat="1" x14ac:dyDescent="0.25">
      <c r="A330" s="53"/>
      <c r="B330" s="54"/>
      <c r="C330" s="94"/>
      <c r="D330" s="105"/>
      <c r="E330" s="95">
        <f>D330-C330</f>
        <v>0</v>
      </c>
      <c r="F330" s="96"/>
      <c r="G330" s="219"/>
      <c r="H330" s="106"/>
      <c r="I330" s="132"/>
      <c r="J330" s="132"/>
      <c r="K330" s="100"/>
      <c r="L330" s="100"/>
    </row>
    <row r="331" spans="1:12" s="101" customFormat="1" ht="19.149999999999999" customHeight="1" x14ac:dyDescent="0.25">
      <c r="A331" s="53"/>
      <c r="B331" s="417"/>
      <c r="C331" s="94"/>
      <c r="D331" s="105"/>
      <c r="E331" s="95">
        <f>D331-C331</f>
        <v>0</v>
      </c>
      <c r="F331" s="96"/>
      <c r="G331" s="219"/>
      <c r="H331" s="106"/>
      <c r="I331" s="132"/>
      <c r="J331" s="132"/>
      <c r="K331" s="100"/>
      <c r="L331" s="100"/>
    </row>
    <row r="332" spans="1:12" s="101" customFormat="1" x14ac:dyDescent="0.25">
      <c r="A332" s="53"/>
      <c r="B332" s="54"/>
      <c r="C332" s="94"/>
      <c r="D332" s="105"/>
      <c r="E332" s="95">
        <f>D332-C332</f>
        <v>0</v>
      </c>
      <c r="F332" s="96"/>
      <c r="G332" s="219"/>
      <c r="H332" s="116"/>
      <c r="I332" s="132"/>
      <c r="J332" s="132"/>
      <c r="K332" s="100"/>
      <c r="L332" s="100"/>
    </row>
    <row r="333" spans="1:12" s="101" customFormat="1" x14ac:dyDescent="0.25">
      <c r="A333" s="53"/>
      <c r="B333" s="54"/>
      <c r="C333" s="94"/>
      <c r="D333" s="105"/>
      <c r="E333" s="95"/>
      <c r="F333" s="96"/>
      <c r="G333" s="219"/>
      <c r="H333" s="106"/>
      <c r="I333" s="132"/>
      <c r="J333" s="132"/>
      <c r="K333" s="100"/>
      <c r="L333" s="100"/>
    </row>
    <row r="334" spans="1:12" s="101" customFormat="1" x14ac:dyDescent="0.25">
      <c r="A334" s="53"/>
      <c r="B334" s="406"/>
      <c r="C334" s="94"/>
      <c r="D334" s="105"/>
      <c r="E334" s="95">
        <f>D334-C334</f>
        <v>0</v>
      </c>
      <c r="F334" s="96"/>
      <c r="G334" s="219"/>
      <c r="H334" s="116"/>
      <c r="I334" s="132"/>
      <c r="J334" s="132"/>
      <c r="K334" s="100"/>
      <c r="L334" s="100"/>
    </row>
    <row r="335" spans="1:12" x14ac:dyDescent="0.25">
      <c r="A335" s="37"/>
      <c r="B335" s="38"/>
      <c r="C335" s="55"/>
      <c r="D335" s="55"/>
      <c r="E335" s="95"/>
      <c r="F335" s="70"/>
      <c r="G335" s="219"/>
      <c r="H335" s="68"/>
      <c r="I335" s="133"/>
      <c r="J335" s="133"/>
    </row>
    <row r="336" spans="1:12" x14ac:dyDescent="0.25">
      <c r="A336" s="37"/>
      <c r="B336" s="38" t="s">
        <v>450</v>
      </c>
      <c r="C336" s="55"/>
      <c r="D336" s="55"/>
      <c r="E336" s="56"/>
      <c r="F336" s="152">
        <f>SUM(F323:F335)</f>
        <v>2435</v>
      </c>
      <c r="G336" s="221"/>
      <c r="H336" s="68"/>
      <c r="I336" s="133"/>
      <c r="J336" s="133"/>
    </row>
    <row r="337" spans="1:12" x14ac:dyDescent="0.25">
      <c r="A337" s="37"/>
      <c r="B337" s="38" t="s">
        <v>451</v>
      </c>
      <c r="C337" s="55"/>
      <c r="D337" s="55"/>
      <c r="E337" s="56"/>
      <c r="F337" s="152"/>
      <c r="G337" s="221"/>
      <c r="H337" s="68"/>
      <c r="I337" s="133"/>
      <c r="J337" s="133"/>
    </row>
    <row r="338" spans="1:12" x14ac:dyDescent="0.25">
      <c r="A338" s="37"/>
      <c r="B338" s="38" t="s">
        <v>452</v>
      </c>
      <c r="C338" s="55"/>
      <c r="D338" s="55"/>
      <c r="E338" s="56"/>
      <c r="F338" s="112">
        <f>F336-F337</f>
        <v>2435</v>
      </c>
      <c r="G338" s="220"/>
      <c r="H338" s="68"/>
      <c r="I338" s="133"/>
      <c r="J338" s="133"/>
    </row>
    <row r="339" spans="1:12" x14ac:dyDescent="0.25">
      <c r="A339" s="37"/>
      <c r="B339" s="38" t="s">
        <v>468</v>
      </c>
      <c r="C339" s="55"/>
      <c r="D339" s="55"/>
      <c r="E339" s="56"/>
      <c r="F339" s="126">
        <f>F317+F336</f>
        <v>32621.5</v>
      </c>
      <c r="G339" s="220"/>
      <c r="H339" s="68"/>
      <c r="I339" s="133"/>
      <c r="J339" s="133"/>
    </row>
    <row r="340" spans="1:12" x14ac:dyDescent="0.25">
      <c r="A340" s="37"/>
      <c r="B340" s="38" t="s">
        <v>469</v>
      </c>
      <c r="C340" s="55"/>
      <c r="D340" s="55"/>
      <c r="E340" s="56"/>
      <c r="F340" s="126">
        <f>F318+F337</f>
        <v>0</v>
      </c>
      <c r="G340" s="220"/>
      <c r="H340" s="68"/>
      <c r="I340" s="133"/>
      <c r="J340" s="133"/>
    </row>
    <row r="341" spans="1:12" x14ac:dyDescent="0.25">
      <c r="A341" s="139"/>
      <c r="B341" s="140" t="s">
        <v>470</v>
      </c>
      <c r="C341" s="55"/>
      <c r="D341" s="55"/>
      <c r="E341" s="56"/>
      <c r="F341" s="112">
        <f>F339-F340</f>
        <v>32621.5</v>
      </c>
      <c r="G341" s="220"/>
      <c r="H341" s="68"/>
      <c r="I341" s="133"/>
      <c r="J341" s="133"/>
    </row>
    <row r="342" spans="1:12" x14ac:dyDescent="0.25">
      <c r="A342" s="37"/>
      <c r="B342" s="38"/>
      <c r="C342" s="55"/>
      <c r="D342" s="55"/>
      <c r="E342" s="56"/>
      <c r="F342" s="68"/>
      <c r="G342" s="220"/>
      <c r="H342" s="68"/>
      <c r="I342" s="133"/>
      <c r="J342" s="133"/>
    </row>
    <row r="343" spans="1:12" x14ac:dyDescent="0.25">
      <c r="A343" s="37"/>
      <c r="B343" s="38" t="s">
        <v>453</v>
      </c>
      <c r="C343" s="55"/>
      <c r="D343" s="55"/>
      <c r="E343" s="56"/>
      <c r="F343" s="68"/>
      <c r="G343" s="220"/>
      <c r="H343" s="68"/>
      <c r="I343" s="133"/>
      <c r="J343" s="133"/>
    </row>
    <row r="344" spans="1:12" ht="30" x14ac:dyDescent="0.25">
      <c r="A344" s="37"/>
      <c r="B344" s="38" t="s">
        <v>454</v>
      </c>
      <c r="C344" s="55"/>
      <c r="D344" s="55"/>
      <c r="E344" s="56"/>
      <c r="F344" s="113"/>
      <c r="G344" s="220"/>
      <c r="H344" s="68"/>
      <c r="I344" s="133"/>
      <c r="J344" s="133"/>
      <c r="K344" s="3"/>
      <c r="L344" s="3"/>
    </row>
    <row r="345" spans="1:12" x14ac:dyDescent="0.25">
      <c r="A345" s="222"/>
      <c r="B345" s="25"/>
      <c r="C345" s="55"/>
      <c r="D345" s="55"/>
      <c r="E345" s="56"/>
      <c r="F345" s="68"/>
      <c r="G345" s="223"/>
      <c r="H345" s="68"/>
      <c r="I345" s="133"/>
      <c r="J345" s="133"/>
      <c r="K345" s="3"/>
      <c r="L345" s="3"/>
    </row>
    <row r="346" spans="1:12" ht="16.5" x14ac:dyDescent="0.3">
      <c r="A346" s="209"/>
      <c r="B346" s="210">
        <v>42064</v>
      </c>
      <c r="C346" s="211"/>
      <c r="D346" s="211"/>
      <c r="E346" s="212"/>
      <c r="F346" s="213"/>
      <c r="G346" s="214"/>
      <c r="H346" s="215"/>
      <c r="I346" s="216"/>
      <c r="J346" s="216"/>
    </row>
    <row r="347" spans="1:12" s="178" customFormat="1" x14ac:dyDescent="0.25">
      <c r="A347" s="53" t="s">
        <v>60</v>
      </c>
      <c r="B347" s="155" t="s">
        <v>1210</v>
      </c>
      <c r="C347" s="407">
        <v>42032</v>
      </c>
      <c r="D347" s="165">
        <v>42039</v>
      </c>
      <c r="E347" s="145">
        <f>D347-C347</f>
        <v>7</v>
      </c>
      <c r="F347" s="158">
        <v>9570</v>
      </c>
      <c r="G347" s="218">
        <v>42064</v>
      </c>
      <c r="H347" s="166" t="s">
        <v>1211</v>
      </c>
      <c r="I347" s="167">
        <v>6</v>
      </c>
      <c r="J347" s="167" t="s">
        <v>526</v>
      </c>
      <c r="K347" s="177"/>
      <c r="L347" s="177"/>
    </row>
    <row r="348" spans="1:12" x14ac:dyDescent="0.25">
      <c r="A348" s="53"/>
      <c r="B348" s="54"/>
      <c r="C348" s="94"/>
      <c r="D348" s="94"/>
      <c r="E348" s="145">
        <f>D348-C348</f>
        <v>0</v>
      </c>
      <c r="F348" s="96"/>
      <c r="G348" s="219"/>
      <c r="H348" s="106"/>
      <c r="I348" s="104"/>
      <c r="J348" s="167"/>
    </row>
    <row r="349" spans="1:12" x14ac:dyDescent="0.25">
      <c r="A349" s="53"/>
      <c r="B349" s="54"/>
      <c r="C349" s="94"/>
      <c r="D349" s="94"/>
      <c r="E349" s="145">
        <f t="shared" ref="E349:E351" si="13">D349-C349</f>
        <v>0</v>
      </c>
      <c r="F349" s="96"/>
      <c r="G349" s="219"/>
      <c r="H349" s="106"/>
      <c r="I349" s="104"/>
      <c r="J349" s="167"/>
    </row>
    <row r="350" spans="1:12" s="101" customFormat="1" x14ac:dyDescent="0.25">
      <c r="A350" s="53"/>
      <c r="B350" s="54"/>
      <c r="C350" s="94"/>
      <c r="D350" s="105"/>
      <c r="E350" s="95">
        <f t="shared" si="13"/>
        <v>0</v>
      </c>
      <c r="F350" s="96"/>
      <c r="G350" s="219"/>
      <c r="H350" s="106"/>
      <c r="I350" s="132"/>
      <c r="J350" s="132"/>
      <c r="K350" s="100"/>
      <c r="L350" s="100"/>
    </row>
    <row r="351" spans="1:12" s="101" customFormat="1" x14ac:dyDescent="0.25">
      <c r="A351" s="53"/>
      <c r="B351" s="54"/>
      <c r="C351" s="94"/>
      <c r="D351" s="105"/>
      <c r="E351" s="95">
        <f t="shared" si="13"/>
        <v>0</v>
      </c>
      <c r="F351" s="96"/>
      <c r="G351" s="219"/>
      <c r="H351" s="106"/>
      <c r="I351" s="132"/>
      <c r="J351" s="132"/>
      <c r="K351" s="100"/>
      <c r="L351" s="100"/>
    </row>
    <row r="352" spans="1:12" s="101" customFormat="1" x14ac:dyDescent="0.25">
      <c r="A352" s="53"/>
      <c r="B352" s="54"/>
      <c r="C352" s="94"/>
      <c r="D352" s="105"/>
      <c r="E352" s="95">
        <f>D352-C352</f>
        <v>0</v>
      </c>
      <c r="F352" s="96"/>
      <c r="G352" s="219"/>
      <c r="H352" s="106"/>
      <c r="I352" s="132"/>
      <c r="J352" s="132"/>
      <c r="K352" s="100"/>
      <c r="L352" s="100"/>
    </row>
    <row r="353" spans="1:12" s="101" customFormat="1" x14ac:dyDescent="0.25">
      <c r="A353" s="53"/>
      <c r="B353" s="54"/>
      <c r="C353" s="94"/>
      <c r="D353" s="105"/>
      <c r="E353" s="95">
        <f>D353-C353</f>
        <v>0</v>
      </c>
      <c r="F353" s="96"/>
      <c r="G353" s="219"/>
      <c r="H353" s="116"/>
      <c r="I353" s="132"/>
      <c r="J353" s="132"/>
      <c r="K353" s="100"/>
      <c r="L353" s="100"/>
    </row>
    <row r="354" spans="1:12" s="101" customFormat="1" x14ac:dyDescent="0.25">
      <c r="A354" s="53"/>
      <c r="B354" s="54"/>
      <c r="C354" s="94"/>
      <c r="D354" s="105"/>
      <c r="E354" s="95">
        <f>D354-C354</f>
        <v>0</v>
      </c>
      <c r="F354" s="96"/>
      <c r="G354" s="219"/>
      <c r="H354" s="106"/>
      <c r="I354" s="132"/>
      <c r="J354" s="132"/>
      <c r="K354" s="100"/>
      <c r="L354" s="100"/>
    </row>
    <row r="355" spans="1:12" s="101" customFormat="1" ht="19.149999999999999" customHeight="1" x14ac:dyDescent="0.25">
      <c r="A355" s="53"/>
      <c r="B355" s="417"/>
      <c r="C355" s="94"/>
      <c r="D355" s="105"/>
      <c r="E355" s="95">
        <f>D355-C355</f>
        <v>0</v>
      </c>
      <c r="F355" s="96"/>
      <c r="G355" s="219"/>
      <c r="H355" s="106"/>
      <c r="I355" s="132"/>
      <c r="J355" s="132"/>
      <c r="K355" s="100"/>
      <c r="L355" s="100"/>
    </row>
    <row r="356" spans="1:12" s="101" customFormat="1" x14ac:dyDescent="0.25">
      <c r="A356" s="53"/>
      <c r="B356" s="54"/>
      <c r="C356" s="94"/>
      <c r="D356" s="105"/>
      <c r="E356" s="95">
        <f>D356-C356</f>
        <v>0</v>
      </c>
      <c r="F356" s="96"/>
      <c r="G356" s="219"/>
      <c r="H356" s="116"/>
      <c r="I356" s="132"/>
      <c r="J356" s="132"/>
      <c r="K356" s="100"/>
      <c r="L356" s="100"/>
    </row>
    <row r="357" spans="1:12" s="101" customFormat="1" x14ac:dyDescent="0.25">
      <c r="A357" s="53"/>
      <c r="B357" s="54"/>
      <c r="C357" s="94"/>
      <c r="D357" s="105"/>
      <c r="E357" s="95"/>
      <c r="F357" s="96"/>
      <c r="G357" s="219"/>
      <c r="H357" s="106"/>
      <c r="I357" s="132"/>
      <c r="J357" s="132"/>
      <c r="K357" s="100"/>
      <c r="L357" s="100"/>
    </row>
    <row r="358" spans="1:12" s="101" customFormat="1" x14ac:dyDescent="0.25">
      <c r="A358" s="53"/>
      <c r="B358" s="406"/>
      <c r="C358" s="94"/>
      <c r="D358" s="105"/>
      <c r="E358" s="95">
        <f>D358-C358</f>
        <v>0</v>
      </c>
      <c r="F358" s="96"/>
      <c r="G358" s="219"/>
      <c r="H358" s="116"/>
      <c r="I358" s="132"/>
      <c r="J358" s="132"/>
      <c r="K358" s="100"/>
      <c r="L358" s="100"/>
    </row>
    <row r="359" spans="1:12" x14ac:dyDescent="0.25">
      <c r="A359" s="37"/>
      <c r="B359" s="38"/>
      <c r="C359" s="55"/>
      <c r="D359" s="55"/>
      <c r="E359" s="95"/>
      <c r="F359" s="70"/>
      <c r="G359" s="219"/>
      <c r="H359" s="68"/>
      <c r="I359" s="133"/>
      <c r="J359" s="133"/>
    </row>
    <row r="360" spans="1:12" x14ac:dyDescent="0.25">
      <c r="A360" s="37"/>
      <c r="B360" s="38" t="s">
        <v>450</v>
      </c>
      <c r="C360" s="55"/>
      <c r="D360" s="55"/>
      <c r="E360" s="56"/>
      <c r="F360" s="152">
        <f>SUM(F347:F359)</f>
        <v>9570</v>
      </c>
      <c r="G360" s="221"/>
      <c r="H360" s="68"/>
      <c r="I360" s="133"/>
      <c r="J360" s="133"/>
    </row>
    <row r="361" spans="1:12" x14ac:dyDescent="0.25">
      <c r="A361" s="37"/>
      <c r="B361" s="38" t="s">
        <v>451</v>
      </c>
      <c r="C361" s="55"/>
      <c r="D361" s="55"/>
      <c r="E361" s="56"/>
      <c r="F361" s="152"/>
      <c r="G361" s="221"/>
      <c r="H361" s="68"/>
      <c r="I361" s="133"/>
      <c r="J361" s="133"/>
    </row>
    <row r="362" spans="1:12" x14ac:dyDescent="0.25">
      <c r="A362" s="37"/>
      <c r="B362" s="38" t="s">
        <v>452</v>
      </c>
      <c r="C362" s="55"/>
      <c r="D362" s="55"/>
      <c r="E362" s="56"/>
      <c r="F362" s="112">
        <f>F360-F361</f>
        <v>9570</v>
      </c>
      <c r="G362" s="220"/>
      <c r="H362" s="68"/>
      <c r="I362" s="133"/>
      <c r="J362" s="133"/>
    </row>
    <row r="363" spans="1:12" x14ac:dyDescent="0.25">
      <c r="A363" s="37"/>
      <c r="B363" s="38" t="s">
        <v>468</v>
      </c>
      <c r="C363" s="55"/>
      <c r="D363" s="55"/>
      <c r="E363" s="56"/>
      <c r="F363" s="126">
        <f>F341+F360</f>
        <v>42191.5</v>
      </c>
      <c r="G363" s="220"/>
      <c r="H363" s="68"/>
      <c r="I363" s="133"/>
      <c r="J363" s="133"/>
    </row>
    <row r="364" spans="1:12" x14ac:dyDescent="0.25">
      <c r="A364" s="37"/>
      <c r="B364" s="38" t="s">
        <v>469</v>
      </c>
      <c r="C364" s="55"/>
      <c r="D364" s="55"/>
      <c r="E364" s="56"/>
      <c r="F364" s="126">
        <f>F342+F361</f>
        <v>0</v>
      </c>
      <c r="G364" s="220"/>
      <c r="H364" s="68"/>
      <c r="I364" s="133"/>
      <c r="J364" s="133"/>
    </row>
    <row r="365" spans="1:12" x14ac:dyDescent="0.25">
      <c r="A365" s="139"/>
      <c r="B365" s="140" t="s">
        <v>470</v>
      </c>
      <c r="C365" s="55"/>
      <c r="D365" s="55"/>
      <c r="E365" s="56"/>
      <c r="F365" s="112">
        <f>F363-F364</f>
        <v>42191.5</v>
      </c>
      <c r="G365" s="220"/>
      <c r="H365" s="68"/>
      <c r="I365" s="133"/>
      <c r="J365" s="133"/>
    </row>
    <row r="366" spans="1:12" x14ac:dyDescent="0.25">
      <c r="A366" s="222"/>
      <c r="B366" s="25"/>
      <c r="C366" s="55"/>
      <c r="D366" s="55"/>
      <c r="E366" s="56"/>
      <c r="F366" s="68"/>
      <c r="G366" s="223"/>
      <c r="H366" s="68"/>
      <c r="I366" s="133"/>
      <c r="J366" s="133"/>
      <c r="K366" s="3"/>
      <c r="L366" s="3"/>
    </row>
    <row r="367" spans="1:12" x14ac:dyDescent="0.25">
      <c r="A367" s="222"/>
      <c r="B367" s="25"/>
      <c r="C367" s="55"/>
      <c r="D367" s="55"/>
      <c r="E367" s="56"/>
      <c r="F367" s="68"/>
      <c r="G367" s="223"/>
      <c r="H367" s="68"/>
      <c r="I367" s="133"/>
      <c r="J367" s="133"/>
      <c r="K367" s="3"/>
      <c r="L367" s="3"/>
    </row>
    <row r="368" spans="1:12" x14ac:dyDescent="0.25">
      <c r="A368" s="222"/>
      <c r="B368" s="25"/>
      <c r="C368" s="55"/>
      <c r="D368" s="55"/>
      <c r="E368" s="56"/>
      <c r="F368" s="68"/>
      <c r="G368" s="223"/>
      <c r="H368" s="68"/>
      <c r="I368" s="133"/>
      <c r="J368" s="133"/>
      <c r="K368" s="3"/>
      <c r="L368" s="3"/>
    </row>
    <row r="369" spans="1:12" x14ac:dyDescent="0.25">
      <c r="A369" s="222"/>
      <c r="B369" s="25"/>
      <c r="C369" s="55"/>
      <c r="D369" s="55"/>
      <c r="E369" s="56"/>
      <c r="F369" s="68"/>
      <c r="G369" s="223"/>
      <c r="H369" s="68"/>
      <c r="I369" s="133"/>
      <c r="J369" s="133"/>
      <c r="K369" s="3"/>
      <c r="L369" s="3"/>
    </row>
    <row r="370" spans="1:12" x14ac:dyDescent="0.25">
      <c r="A370" s="222"/>
      <c r="B370" s="25"/>
      <c r="C370" s="55"/>
      <c r="D370" s="55"/>
      <c r="E370" s="56"/>
      <c r="F370" s="68"/>
      <c r="G370" s="223"/>
      <c r="H370" s="68"/>
      <c r="I370" s="224"/>
      <c r="J370" s="224"/>
      <c r="K370" s="3"/>
      <c r="L370" s="3"/>
    </row>
    <row r="371" spans="1:12" x14ac:dyDescent="0.25">
      <c r="A371" s="222"/>
      <c r="B371" s="25"/>
      <c r="C371" s="55"/>
      <c r="D371" s="55"/>
      <c r="E371" s="56"/>
      <c r="F371" s="68"/>
      <c r="G371" s="223"/>
      <c r="H371" s="68"/>
      <c r="I371" s="224"/>
      <c r="J371" s="224"/>
      <c r="K371" s="3"/>
      <c r="L371" s="3"/>
    </row>
    <row r="372" spans="1:12" x14ac:dyDescent="0.25">
      <c r="A372" s="222"/>
      <c r="B372" s="25"/>
      <c r="C372" s="55"/>
      <c r="D372" s="55"/>
      <c r="E372" s="56"/>
      <c r="F372" s="68"/>
      <c r="G372" s="223"/>
      <c r="H372" s="68"/>
      <c r="I372" s="224"/>
      <c r="J372" s="224"/>
      <c r="K372" s="3"/>
      <c r="L372" s="3"/>
    </row>
    <row r="373" spans="1:12" x14ac:dyDescent="0.25">
      <c r="A373" s="222"/>
      <c r="B373" s="25"/>
      <c r="C373" s="55"/>
      <c r="D373" s="55"/>
      <c r="E373" s="56"/>
      <c r="F373" s="68"/>
      <c r="G373" s="223"/>
      <c r="H373" s="68"/>
      <c r="I373" s="225"/>
      <c r="J373" s="225"/>
      <c r="K373" s="3"/>
      <c r="L373" s="3"/>
    </row>
    <row r="374" spans="1:12" x14ac:dyDescent="0.25">
      <c r="A374" s="222"/>
      <c r="B374" s="25"/>
      <c r="C374" s="55"/>
      <c r="D374" s="55"/>
      <c r="E374" s="56"/>
      <c r="F374" s="68"/>
      <c r="G374" s="223"/>
      <c r="H374" s="68"/>
      <c r="I374" s="225"/>
      <c r="J374" s="225"/>
      <c r="K374" s="3"/>
      <c r="L374" s="3"/>
    </row>
    <row r="375" spans="1:12" x14ac:dyDescent="0.25">
      <c r="A375" s="222"/>
      <c r="B375" s="25"/>
      <c r="C375" s="55"/>
      <c r="D375" s="55"/>
      <c r="E375" s="56"/>
      <c r="F375" s="68"/>
      <c r="G375" s="223"/>
      <c r="H375" s="68"/>
      <c r="I375" s="225"/>
      <c r="J375" s="225"/>
      <c r="K375" s="3"/>
      <c r="L375" s="3"/>
    </row>
    <row r="376" spans="1:12" x14ac:dyDescent="0.25">
      <c r="A376" s="222"/>
      <c r="B376" s="25"/>
      <c r="C376" s="55"/>
      <c r="D376" s="55"/>
      <c r="E376" s="56"/>
      <c r="F376" s="68"/>
      <c r="G376" s="223"/>
      <c r="H376" s="68"/>
      <c r="I376" s="225"/>
      <c r="J376" s="225"/>
      <c r="K376" s="3"/>
      <c r="L376" s="3"/>
    </row>
    <row r="377" spans="1:12" x14ac:dyDescent="0.25">
      <c r="A377" s="222"/>
      <c r="B377" s="25"/>
      <c r="C377" s="55"/>
      <c r="D377" s="55"/>
      <c r="E377" s="56"/>
      <c r="F377" s="68"/>
      <c r="G377" s="223"/>
      <c r="H377" s="68"/>
      <c r="I377" s="225"/>
      <c r="J377" s="225"/>
      <c r="K377" s="3"/>
      <c r="L377" s="3"/>
    </row>
    <row r="378" spans="1:12" x14ac:dyDescent="0.25">
      <c r="A378" s="222"/>
      <c r="B378" s="25"/>
      <c r="C378" s="55"/>
      <c r="D378" s="55"/>
      <c r="E378" s="56"/>
      <c r="F378" s="68"/>
      <c r="G378" s="223"/>
      <c r="H378" s="68"/>
      <c r="I378" s="225"/>
      <c r="J378" s="225"/>
      <c r="K378" s="3"/>
      <c r="L378" s="3"/>
    </row>
    <row r="379" spans="1:12" x14ac:dyDescent="0.25">
      <c r="A379" s="222"/>
      <c r="B379" s="25"/>
      <c r="C379" s="55"/>
      <c r="D379" s="55"/>
      <c r="E379" s="56"/>
      <c r="F379" s="68"/>
      <c r="G379" s="223"/>
      <c r="H379" s="68"/>
      <c r="I379" s="225"/>
      <c r="J379" s="225"/>
      <c r="K379" s="3"/>
      <c r="L379" s="3"/>
    </row>
    <row r="380" spans="1:12" x14ac:dyDescent="0.25">
      <c r="A380" s="222"/>
      <c r="B380" s="25"/>
      <c r="C380" s="55"/>
      <c r="D380" s="55"/>
      <c r="E380" s="56"/>
      <c r="F380" s="68"/>
      <c r="G380" s="223"/>
      <c r="H380" s="68"/>
      <c r="I380" s="225"/>
      <c r="J380" s="225"/>
      <c r="K380" s="3"/>
      <c r="L380" s="3"/>
    </row>
    <row r="381" spans="1:12" x14ac:dyDescent="0.25">
      <c r="A381" s="222"/>
      <c r="B381" s="25"/>
      <c r="C381" s="55"/>
      <c r="D381" s="55"/>
      <c r="E381" s="56"/>
      <c r="F381" s="68"/>
      <c r="G381" s="223"/>
      <c r="H381" s="68"/>
      <c r="I381" s="225"/>
      <c r="J381" s="225"/>
      <c r="K381" s="3"/>
      <c r="L381" s="3"/>
    </row>
    <row r="382" spans="1:12" x14ac:dyDescent="0.25">
      <c r="A382" s="222"/>
      <c r="B382" s="25"/>
      <c r="C382" s="55"/>
      <c r="D382" s="55"/>
      <c r="E382" s="56"/>
      <c r="F382" s="68"/>
      <c r="G382" s="223"/>
      <c r="H382" s="68"/>
      <c r="I382" s="225"/>
      <c r="J382" s="225"/>
      <c r="K382" s="3"/>
      <c r="L382" s="3"/>
    </row>
    <row r="383" spans="1:12" x14ac:dyDescent="0.25">
      <c r="A383" s="222"/>
      <c r="B383" s="25"/>
      <c r="C383" s="55"/>
      <c r="D383" s="55"/>
      <c r="E383" s="56"/>
      <c r="F383" s="68"/>
      <c r="G383" s="223"/>
      <c r="H383" s="68"/>
      <c r="I383" s="225"/>
      <c r="J383" s="225"/>
      <c r="K383" s="3"/>
      <c r="L383" s="3"/>
    </row>
    <row r="384" spans="1:12" x14ac:dyDescent="0.25">
      <c r="A384" s="222"/>
      <c r="B384" s="25"/>
      <c r="C384" s="55"/>
      <c r="D384" s="55"/>
      <c r="E384" s="56"/>
      <c r="F384" s="68"/>
      <c r="G384" s="223"/>
      <c r="H384" s="68"/>
      <c r="I384" s="225"/>
      <c r="J384" s="225"/>
      <c r="K384" s="3"/>
      <c r="L384" s="3"/>
    </row>
    <row r="385" spans="1:12" x14ac:dyDescent="0.25">
      <c r="A385" s="222"/>
      <c r="B385" s="25"/>
      <c r="C385" s="55"/>
      <c r="D385" s="55"/>
      <c r="E385" s="56"/>
      <c r="F385" s="68"/>
      <c r="G385" s="223"/>
      <c r="H385" s="68"/>
      <c r="I385" s="225"/>
      <c r="J385" s="225"/>
      <c r="K385" s="3"/>
      <c r="L385" s="3"/>
    </row>
    <row r="386" spans="1:12" x14ac:dyDescent="0.25">
      <c r="A386" s="222"/>
      <c r="B386" s="25"/>
      <c r="C386" s="55"/>
      <c r="D386" s="55"/>
      <c r="E386" s="56"/>
      <c r="F386" s="68"/>
      <c r="G386" s="223"/>
      <c r="H386" s="68"/>
      <c r="I386" s="225"/>
      <c r="J386" s="225"/>
      <c r="K386" s="3"/>
      <c r="L386" s="3"/>
    </row>
    <row r="387" spans="1:12" x14ac:dyDescent="0.25">
      <c r="A387" s="222"/>
      <c r="B387" s="25"/>
      <c r="C387" s="55"/>
      <c r="D387" s="55"/>
      <c r="E387" s="56"/>
      <c r="F387" s="68"/>
      <c r="G387" s="223"/>
      <c r="H387" s="68"/>
      <c r="I387" s="225"/>
      <c r="J387" s="225"/>
      <c r="K387" s="3"/>
      <c r="L387" s="3"/>
    </row>
    <row r="388" spans="1:12" x14ac:dyDescent="0.25">
      <c r="A388" s="222"/>
      <c r="B388" s="25"/>
      <c r="C388" s="55"/>
      <c r="D388" s="55"/>
      <c r="E388" s="56"/>
      <c r="F388" s="68"/>
      <c r="G388" s="223"/>
      <c r="H388" s="68"/>
      <c r="I388" s="225"/>
      <c r="J388" s="225"/>
      <c r="K388" s="3"/>
      <c r="L388" s="3"/>
    </row>
    <row r="389" spans="1:12" x14ac:dyDescent="0.25">
      <c r="A389" s="222"/>
      <c r="B389" s="25"/>
      <c r="C389" s="55"/>
      <c r="D389" s="55"/>
      <c r="E389" s="56"/>
      <c r="F389" s="68"/>
      <c r="G389" s="223"/>
      <c r="H389" s="68"/>
      <c r="I389" s="225"/>
      <c r="J389" s="225"/>
      <c r="K389" s="3"/>
      <c r="L389" s="3"/>
    </row>
    <row r="390" spans="1:12" x14ac:dyDescent="0.25">
      <c r="A390" s="222"/>
      <c r="B390" s="25"/>
      <c r="C390" s="55"/>
      <c r="D390" s="55"/>
      <c r="E390" s="56"/>
      <c r="F390" s="68"/>
      <c r="G390" s="223"/>
      <c r="H390" s="68"/>
      <c r="I390" s="225"/>
      <c r="J390" s="225"/>
      <c r="K390" s="3"/>
      <c r="L390" s="3"/>
    </row>
    <row r="391" spans="1:12" x14ac:dyDescent="0.25">
      <c r="A391" s="222"/>
      <c r="B391" s="25"/>
      <c r="C391" s="55"/>
      <c r="D391" s="55"/>
      <c r="E391" s="56"/>
      <c r="F391" s="68"/>
      <c r="G391" s="223"/>
      <c r="H391" s="68"/>
      <c r="I391" s="225"/>
      <c r="J391" s="225"/>
      <c r="K391" s="3"/>
      <c r="L391" s="3"/>
    </row>
    <row r="392" spans="1:12" x14ac:dyDescent="0.25">
      <c r="A392" s="222"/>
      <c r="B392" s="25"/>
      <c r="C392" s="55"/>
      <c r="D392" s="55"/>
      <c r="E392" s="56"/>
      <c r="F392" s="68"/>
      <c r="G392" s="223"/>
      <c r="H392" s="68"/>
      <c r="I392" s="225"/>
      <c r="J392" s="225"/>
      <c r="K392" s="3"/>
      <c r="L392" s="3"/>
    </row>
    <row r="393" spans="1:12" x14ac:dyDescent="0.25">
      <c r="A393" s="222"/>
      <c r="B393" s="25"/>
      <c r="C393" s="55"/>
      <c r="D393" s="55"/>
      <c r="E393" s="56"/>
      <c r="F393" s="68"/>
      <c r="G393" s="223"/>
      <c r="H393" s="68"/>
      <c r="I393" s="225"/>
      <c r="J393" s="225"/>
      <c r="K393" s="3"/>
      <c r="L393" s="3"/>
    </row>
    <row r="394" spans="1:12" x14ac:dyDescent="0.25">
      <c r="A394" s="222"/>
      <c r="B394" s="25"/>
      <c r="C394" s="55"/>
      <c r="D394" s="55"/>
      <c r="E394" s="56"/>
      <c r="F394" s="68"/>
      <c r="G394" s="223"/>
      <c r="H394" s="68"/>
      <c r="I394" s="225"/>
      <c r="J394" s="225"/>
      <c r="K394" s="3"/>
      <c r="L394" s="3"/>
    </row>
    <row r="395" spans="1:12" x14ac:dyDescent="0.25">
      <c r="A395" s="222"/>
      <c r="B395" s="25"/>
      <c r="C395" s="55"/>
      <c r="D395" s="55"/>
      <c r="E395" s="56"/>
      <c r="F395" s="68"/>
      <c r="G395" s="223"/>
      <c r="H395" s="68"/>
      <c r="I395" s="225"/>
      <c r="J395" s="225"/>
      <c r="K395" s="3"/>
      <c r="L395" s="3"/>
    </row>
    <row r="396" spans="1:12" x14ac:dyDescent="0.25">
      <c r="A396" s="222"/>
      <c r="B396" s="25"/>
      <c r="C396" s="55"/>
      <c r="D396" s="55"/>
      <c r="E396" s="56"/>
      <c r="F396" s="68"/>
      <c r="G396" s="223"/>
      <c r="H396" s="68"/>
      <c r="I396" s="225"/>
      <c r="J396" s="225"/>
      <c r="K396" s="3"/>
      <c r="L396" s="3"/>
    </row>
    <row r="397" spans="1:12" x14ac:dyDescent="0.25">
      <c r="A397" s="222"/>
      <c r="B397" s="25"/>
      <c r="C397" s="55"/>
      <c r="D397" s="55"/>
      <c r="E397" s="56"/>
      <c r="F397" s="68"/>
      <c r="G397" s="223"/>
      <c r="H397" s="68"/>
      <c r="I397" s="225"/>
      <c r="J397" s="225"/>
      <c r="K397" s="3"/>
      <c r="L397" s="3"/>
    </row>
    <row r="398" spans="1:12" x14ac:dyDescent="0.25">
      <c r="A398" s="222"/>
      <c r="B398" s="25"/>
      <c r="C398" s="55"/>
      <c r="D398" s="55"/>
      <c r="E398" s="56"/>
      <c r="F398" s="68"/>
      <c r="G398" s="223"/>
      <c r="H398" s="68"/>
      <c r="I398" s="225"/>
      <c r="J398" s="225"/>
      <c r="K398" s="3"/>
      <c r="L398" s="3"/>
    </row>
    <row r="399" spans="1:12" x14ac:dyDescent="0.25">
      <c r="A399" s="222"/>
      <c r="B399" s="25"/>
      <c r="C399" s="55"/>
      <c r="D399" s="55"/>
      <c r="E399" s="56"/>
      <c r="F399" s="68"/>
      <c r="G399" s="223"/>
      <c r="H399" s="68"/>
      <c r="I399" s="225"/>
      <c r="J399" s="225"/>
      <c r="K399" s="3"/>
      <c r="L399" s="3"/>
    </row>
    <row r="400" spans="1:12" x14ac:dyDescent="0.25">
      <c r="A400" s="222"/>
      <c r="B400" s="25"/>
      <c r="C400" s="55"/>
      <c r="D400" s="55"/>
      <c r="E400" s="56"/>
      <c r="F400" s="68"/>
      <c r="G400" s="223"/>
      <c r="H400" s="68"/>
      <c r="I400" s="225"/>
      <c r="J400" s="225"/>
      <c r="K400" s="3"/>
      <c r="L400" s="3"/>
    </row>
    <row r="401" spans="1:12" x14ac:dyDescent="0.25">
      <c r="A401" s="222"/>
      <c r="B401" s="25"/>
      <c r="C401" s="55"/>
      <c r="D401" s="55"/>
      <c r="E401" s="56"/>
      <c r="F401" s="68"/>
      <c r="G401" s="223"/>
      <c r="H401" s="68"/>
      <c r="I401" s="225"/>
      <c r="J401" s="225"/>
      <c r="K401" s="3"/>
      <c r="L401" s="3"/>
    </row>
    <row r="402" spans="1:12" x14ac:dyDescent="0.25">
      <c r="A402" s="222"/>
      <c r="B402" s="25"/>
      <c r="C402" s="55"/>
      <c r="D402" s="55"/>
      <c r="E402" s="56"/>
      <c r="F402" s="68"/>
      <c r="G402" s="223"/>
      <c r="H402" s="68"/>
      <c r="I402" s="225"/>
      <c r="J402" s="225"/>
      <c r="K402" s="3"/>
      <c r="L402" s="3"/>
    </row>
    <row r="403" spans="1:12" x14ac:dyDescent="0.25">
      <c r="A403" s="222"/>
      <c r="B403" s="25"/>
      <c r="C403" s="55"/>
      <c r="D403" s="55"/>
      <c r="E403" s="56"/>
      <c r="F403" s="68"/>
      <c r="G403" s="223"/>
      <c r="H403" s="68"/>
      <c r="I403" s="225"/>
      <c r="J403" s="225"/>
      <c r="K403" s="3"/>
      <c r="L403" s="3"/>
    </row>
    <row r="404" spans="1:12" x14ac:dyDescent="0.25">
      <c r="A404" s="222"/>
      <c r="B404" s="25"/>
      <c r="C404" s="55"/>
      <c r="D404" s="55"/>
      <c r="E404" s="56"/>
      <c r="F404" s="68"/>
      <c r="G404" s="223"/>
      <c r="H404" s="68"/>
      <c r="I404" s="225"/>
      <c r="J404" s="225"/>
      <c r="K404" s="3"/>
      <c r="L404" s="3"/>
    </row>
    <row r="405" spans="1:12" x14ac:dyDescent="0.25">
      <c r="A405" s="222"/>
      <c r="B405" s="25"/>
      <c r="C405" s="55"/>
      <c r="D405" s="55"/>
      <c r="E405" s="56"/>
      <c r="F405" s="68"/>
      <c r="G405" s="223"/>
      <c r="H405" s="68"/>
      <c r="I405" s="225"/>
      <c r="J405" s="225"/>
      <c r="K405" s="3"/>
      <c r="L405" s="3"/>
    </row>
    <row r="406" spans="1:12" x14ac:dyDescent="0.25">
      <c r="A406" s="222"/>
      <c r="B406" s="25"/>
      <c r="C406" s="55"/>
      <c r="D406" s="55"/>
      <c r="E406" s="56"/>
      <c r="F406" s="68"/>
      <c r="G406" s="223"/>
      <c r="H406" s="68"/>
      <c r="I406" s="225"/>
      <c r="J406" s="225"/>
      <c r="K406" s="3"/>
      <c r="L406" s="3"/>
    </row>
    <row r="407" spans="1:12" x14ac:dyDescent="0.25">
      <c r="A407" s="222"/>
      <c r="B407" s="25"/>
      <c r="C407" s="55"/>
      <c r="D407" s="55"/>
      <c r="E407" s="56"/>
      <c r="F407" s="68"/>
      <c r="G407" s="223"/>
      <c r="H407" s="68"/>
      <c r="I407" s="225"/>
      <c r="J407" s="225"/>
      <c r="K407" s="3"/>
      <c r="L407" s="3"/>
    </row>
    <row r="408" spans="1:12" x14ac:dyDescent="0.25">
      <c r="A408" s="222"/>
      <c r="B408" s="25"/>
      <c r="C408" s="55"/>
      <c r="D408" s="55"/>
      <c r="E408" s="56"/>
      <c r="F408" s="68"/>
      <c r="G408" s="223"/>
      <c r="H408" s="68"/>
      <c r="I408" s="225"/>
      <c r="J408" s="225"/>
      <c r="K408" s="3"/>
      <c r="L408" s="3"/>
    </row>
    <row r="409" spans="1:12" x14ac:dyDescent="0.25">
      <c r="A409" s="222"/>
      <c r="B409" s="25"/>
      <c r="C409" s="55"/>
      <c r="D409" s="55"/>
      <c r="E409" s="56"/>
      <c r="F409" s="68"/>
      <c r="G409" s="223"/>
      <c r="H409" s="68"/>
      <c r="I409" s="225"/>
      <c r="J409" s="225"/>
      <c r="K409" s="3"/>
      <c r="L409" s="3"/>
    </row>
    <row r="410" spans="1:12" x14ac:dyDescent="0.25">
      <c r="A410" s="222"/>
      <c r="B410" s="25"/>
      <c r="C410" s="55"/>
      <c r="D410" s="55"/>
      <c r="E410" s="56"/>
      <c r="F410" s="68"/>
      <c r="G410" s="223"/>
      <c r="H410" s="68"/>
      <c r="I410" s="225"/>
      <c r="J410" s="225"/>
      <c r="K410" s="3"/>
      <c r="L410" s="3"/>
    </row>
    <row r="411" spans="1:12" x14ac:dyDescent="0.25">
      <c r="A411" s="222"/>
      <c r="B411" s="25"/>
      <c r="C411" s="55"/>
      <c r="D411" s="55"/>
      <c r="E411" s="56"/>
      <c r="F411" s="68"/>
      <c r="G411" s="223"/>
      <c r="H411" s="68"/>
      <c r="I411" s="225"/>
      <c r="J411" s="225"/>
      <c r="K411" s="3"/>
      <c r="L411" s="3"/>
    </row>
    <row r="412" spans="1:12" x14ac:dyDescent="0.25">
      <c r="A412" s="222"/>
      <c r="B412" s="25"/>
      <c r="C412" s="55"/>
      <c r="D412" s="55"/>
      <c r="E412" s="56"/>
      <c r="F412" s="68"/>
      <c r="G412" s="223"/>
      <c r="H412" s="68"/>
      <c r="I412" s="225"/>
      <c r="J412" s="225"/>
      <c r="K412" s="3"/>
      <c r="L412" s="3"/>
    </row>
    <row r="413" spans="1:12" x14ac:dyDescent="0.25">
      <c r="A413" s="222"/>
      <c r="B413" s="25"/>
      <c r="C413" s="55"/>
      <c r="D413" s="55"/>
      <c r="E413" s="56"/>
      <c r="F413" s="68"/>
      <c r="G413" s="223"/>
      <c r="H413" s="68"/>
      <c r="I413" s="225"/>
      <c r="J413" s="225"/>
      <c r="K413" s="3"/>
      <c r="L413" s="3"/>
    </row>
    <row r="414" spans="1:12" x14ac:dyDescent="0.25">
      <c r="A414" s="222"/>
      <c r="B414" s="25"/>
      <c r="C414" s="55"/>
      <c r="D414" s="55"/>
      <c r="E414" s="56"/>
      <c r="F414" s="68"/>
      <c r="G414" s="223"/>
      <c r="H414" s="68"/>
      <c r="I414" s="225"/>
      <c r="J414" s="225"/>
      <c r="K414" s="3"/>
      <c r="L414" s="3"/>
    </row>
    <row r="415" spans="1:12" x14ac:dyDescent="0.25">
      <c r="A415" s="222"/>
      <c r="B415" s="25"/>
      <c r="C415" s="55"/>
      <c r="D415" s="55"/>
      <c r="E415" s="56"/>
      <c r="F415" s="68"/>
      <c r="G415" s="223"/>
      <c r="H415" s="68"/>
      <c r="I415" s="225"/>
      <c r="J415" s="225"/>
      <c r="K415" s="3"/>
      <c r="L415" s="3"/>
    </row>
    <row r="416" spans="1:12" x14ac:dyDescent="0.25">
      <c r="A416" s="222"/>
      <c r="B416" s="25"/>
      <c r="C416" s="55"/>
      <c r="D416" s="55"/>
      <c r="E416" s="56"/>
      <c r="F416" s="68"/>
      <c r="G416" s="223"/>
      <c r="H416" s="68"/>
      <c r="I416" s="225"/>
      <c r="J416" s="225"/>
      <c r="K416" s="3"/>
      <c r="L416" s="3"/>
    </row>
    <row r="417" spans="1:12" x14ac:dyDescent="0.25">
      <c r="A417" s="222"/>
      <c r="B417" s="25"/>
      <c r="C417" s="55"/>
      <c r="D417" s="55"/>
      <c r="E417" s="56"/>
      <c r="F417" s="68"/>
      <c r="G417" s="223"/>
      <c r="H417" s="68"/>
      <c r="I417" s="225"/>
      <c r="J417" s="225"/>
      <c r="K417" s="3"/>
      <c r="L417" s="3"/>
    </row>
    <row r="418" spans="1:12" x14ac:dyDescent="0.25">
      <c r="A418" s="222"/>
      <c r="B418" s="25"/>
      <c r="C418" s="55"/>
      <c r="D418" s="55"/>
      <c r="E418" s="56"/>
      <c r="F418" s="68"/>
      <c r="G418" s="223"/>
      <c r="H418" s="68"/>
      <c r="I418" s="225"/>
      <c r="J418" s="225"/>
      <c r="K418" s="3"/>
      <c r="L418" s="3"/>
    </row>
    <row r="419" spans="1:12" x14ac:dyDescent="0.25">
      <c r="A419" s="222"/>
      <c r="B419" s="25"/>
      <c r="C419" s="55"/>
      <c r="D419" s="55"/>
      <c r="E419" s="56"/>
      <c r="F419" s="68"/>
      <c r="G419" s="223"/>
      <c r="H419" s="68"/>
      <c r="I419" s="225"/>
      <c r="J419" s="225"/>
      <c r="K419" s="3"/>
      <c r="L419" s="3"/>
    </row>
    <row r="420" spans="1:12" x14ac:dyDescent="0.25">
      <c r="A420" s="222"/>
      <c r="B420" s="25"/>
      <c r="C420" s="55"/>
      <c r="D420" s="55"/>
      <c r="E420" s="56"/>
      <c r="F420" s="68"/>
      <c r="G420" s="223"/>
      <c r="H420" s="68"/>
      <c r="I420" s="225"/>
      <c r="J420" s="225"/>
      <c r="K420" s="3"/>
      <c r="L420" s="3"/>
    </row>
    <row r="421" spans="1:12" x14ac:dyDescent="0.25">
      <c r="A421" s="222"/>
      <c r="B421" s="25"/>
      <c r="C421" s="55"/>
      <c r="D421" s="55"/>
      <c r="E421" s="56"/>
      <c r="F421" s="68"/>
      <c r="G421" s="223"/>
      <c r="H421" s="68"/>
      <c r="I421" s="225"/>
      <c r="J421" s="225"/>
      <c r="K421" s="3"/>
      <c r="L421" s="3"/>
    </row>
    <row r="422" spans="1:12" x14ac:dyDescent="0.25">
      <c r="A422" s="222"/>
      <c r="B422" s="25"/>
      <c r="C422" s="55"/>
      <c r="D422" s="55"/>
      <c r="E422" s="56"/>
      <c r="F422" s="68"/>
      <c r="G422" s="223"/>
      <c r="H422" s="68"/>
      <c r="I422" s="225"/>
      <c r="J422" s="225"/>
      <c r="K422" s="3"/>
      <c r="L422" s="3"/>
    </row>
    <row r="423" spans="1:12" x14ac:dyDescent="0.25">
      <c r="A423" s="222"/>
      <c r="B423" s="25"/>
      <c r="C423" s="55"/>
      <c r="D423" s="55"/>
      <c r="E423" s="56"/>
      <c r="F423" s="68"/>
      <c r="G423" s="223"/>
      <c r="H423" s="68"/>
      <c r="I423" s="225"/>
      <c r="J423" s="225"/>
      <c r="K423" s="3"/>
      <c r="L423" s="3"/>
    </row>
    <row r="424" spans="1:12" x14ac:dyDescent="0.25">
      <c r="A424" s="222"/>
      <c r="B424" s="25"/>
      <c r="C424" s="55"/>
      <c r="D424" s="55"/>
      <c r="E424" s="56"/>
      <c r="F424" s="68"/>
      <c r="G424" s="223"/>
      <c r="H424" s="68"/>
      <c r="I424" s="225"/>
      <c r="J424" s="225"/>
      <c r="K424" s="3"/>
      <c r="L424" s="3"/>
    </row>
    <row r="425" spans="1:12" x14ac:dyDescent="0.25">
      <c r="A425" s="222"/>
      <c r="B425" s="25"/>
      <c r="C425" s="55"/>
      <c r="D425" s="55"/>
      <c r="E425" s="56"/>
      <c r="F425" s="68"/>
      <c r="G425" s="223"/>
      <c r="H425" s="68"/>
      <c r="I425" s="225"/>
      <c r="J425" s="225"/>
      <c r="K425" s="3"/>
      <c r="L425" s="3"/>
    </row>
    <row r="426" spans="1:12" x14ac:dyDescent="0.25">
      <c r="A426" s="222"/>
      <c r="B426" s="25"/>
      <c r="C426" s="55"/>
      <c r="D426" s="55"/>
      <c r="E426" s="56"/>
      <c r="F426" s="68"/>
      <c r="G426" s="69"/>
      <c r="H426" s="68"/>
      <c r="I426" s="225"/>
      <c r="J426" s="225"/>
      <c r="K426" s="3"/>
      <c r="L426" s="3"/>
    </row>
    <row r="427" spans="1:12" x14ac:dyDescent="0.25">
      <c r="A427" s="222"/>
      <c r="B427" s="25"/>
      <c r="C427" s="55"/>
      <c r="D427" s="55"/>
      <c r="E427" s="56"/>
      <c r="F427" s="68"/>
      <c r="G427" s="69"/>
      <c r="H427" s="68"/>
      <c r="I427" s="225"/>
      <c r="J427" s="225"/>
      <c r="K427" s="3"/>
      <c r="L427" s="3"/>
    </row>
    <row r="428" spans="1:12" x14ac:dyDescent="0.25">
      <c r="A428" s="222"/>
      <c r="B428" s="25"/>
      <c r="C428" s="55"/>
      <c r="D428" s="55"/>
      <c r="E428" s="56"/>
      <c r="F428" s="68"/>
      <c r="G428" s="69"/>
      <c r="H428" s="68"/>
      <c r="I428" s="225"/>
      <c r="J428" s="225"/>
      <c r="K428" s="3"/>
      <c r="L428" s="3"/>
    </row>
    <row r="429" spans="1:12" x14ac:dyDescent="0.25">
      <c r="A429" s="222"/>
      <c r="B429" s="25"/>
      <c r="C429" s="55"/>
      <c r="D429" s="55"/>
      <c r="E429" s="56"/>
      <c r="F429" s="68"/>
      <c r="G429" s="69"/>
      <c r="H429" s="68"/>
      <c r="I429" s="225"/>
      <c r="J429" s="225"/>
      <c r="K429" s="3"/>
      <c r="L429" s="3"/>
    </row>
    <row r="430" spans="1:12" x14ac:dyDescent="0.25">
      <c r="A430" s="222"/>
      <c r="B430" s="25"/>
      <c r="C430" s="55"/>
      <c r="D430" s="55"/>
      <c r="E430" s="56"/>
      <c r="F430" s="68"/>
      <c r="G430" s="69"/>
      <c r="H430" s="68"/>
      <c r="I430" s="225"/>
      <c r="J430" s="225"/>
      <c r="K430" s="3"/>
      <c r="L430" s="3"/>
    </row>
    <row r="431" spans="1:12" x14ac:dyDescent="0.25">
      <c r="A431" s="222"/>
      <c r="B431" s="25"/>
      <c r="C431" s="55"/>
      <c r="D431" s="55"/>
      <c r="E431" s="56"/>
      <c r="F431" s="68"/>
      <c r="G431" s="69"/>
      <c r="H431" s="68"/>
      <c r="I431" s="225"/>
      <c r="J431" s="225"/>
      <c r="K431" s="3"/>
      <c r="L431" s="3"/>
    </row>
    <row r="432" spans="1:12" x14ac:dyDescent="0.25">
      <c r="A432" s="222"/>
      <c r="B432" s="25"/>
      <c r="C432" s="55"/>
      <c r="D432" s="55"/>
      <c r="E432" s="56"/>
      <c r="F432" s="68"/>
      <c r="G432" s="69"/>
      <c r="H432" s="68"/>
      <c r="I432" s="225"/>
      <c r="J432" s="225"/>
      <c r="K432" s="3"/>
      <c r="L432" s="3"/>
    </row>
    <row r="433" spans="1:12" x14ac:dyDescent="0.25">
      <c r="A433" s="222"/>
      <c r="B433" s="25"/>
      <c r="C433" s="55"/>
      <c r="D433" s="55"/>
      <c r="E433" s="56"/>
      <c r="F433" s="68"/>
      <c r="G433" s="69"/>
      <c r="H433" s="68"/>
      <c r="I433" s="225"/>
      <c r="J433" s="225"/>
      <c r="K433" s="3"/>
      <c r="L433" s="3"/>
    </row>
    <row r="434" spans="1:12" x14ac:dyDescent="0.25">
      <c r="A434" s="222"/>
      <c r="B434" s="25"/>
      <c r="C434" s="55"/>
      <c r="D434" s="55"/>
      <c r="E434" s="56"/>
      <c r="F434" s="68"/>
      <c r="G434" s="69"/>
      <c r="H434" s="68"/>
      <c r="I434" s="225"/>
      <c r="J434" s="225"/>
      <c r="K434" s="3"/>
      <c r="L434" s="3"/>
    </row>
    <row r="435" spans="1:12" x14ac:dyDescent="0.25">
      <c r="A435" s="222"/>
      <c r="B435" s="25"/>
      <c r="C435" s="55"/>
      <c r="D435" s="55"/>
      <c r="E435" s="56"/>
      <c r="F435" s="68"/>
      <c r="G435" s="69"/>
      <c r="H435" s="68"/>
      <c r="I435" s="225"/>
      <c r="J435" s="225"/>
      <c r="K435" s="3"/>
      <c r="L435" s="3"/>
    </row>
    <row r="436" spans="1:12" x14ac:dyDescent="0.25">
      <c r="A436" s="222"/>
      <c r="B436" s="25"/>
      <c r="C436" s="55"/>
      <c r="D436" s="55"/>
      <c r="E436" s="56"/>
      <c r="F436" s="68"/>
      <c r="G436" s="69"/>
      <c r="H436" s="68"/>
      <c r="I436" s="225"/>
      <c r="J436" s="225"/>
      <c r="K436" s="3"/>
      <c r="L436" s="3"/>
    </row>
    <row r="437" spans="1:12" x14ac:dyDescent="0.25">
      <c r="A437" s="222"/>
      <c r="B437" s="25"/>
      <c r="C437" s="55"/>
      <c r="D437" s="55"/>
      <c r="E437" s="56"/>
      <c r="F437" s="68"/>
      <c r="G437" s="69"/>
      <c r="H437" s="68"/>
      <c r="I437" s="225"/>
      <c r="J437" s="225"/>
      <c r="K437" s="3"/>
      <c r="L437" s="3"/>
    </row>
    <row r="438" spans="1:12" x14ac:dyDescent="0.25">
      <c r="A438" s="222"/>
      <c r="B438" s="25"/>
      <c r="C438" s="55"/>
      <c r="D438" s="55"/>
      <c r="E438" s="56"/>
      <c r="F438" s="68"/>
      <c r="G438" s="69"/>
      <c r="H438" s="68"/>
      <c r="I438" s="225"/>
      <c r="J438" s="225"/>
      <c r="K438" s="3"/>
      <c r="L438" s="3"/>
    </row>
    <row r="439" spans="1:12" x14ac:dyDescent="0.25">
      <c r="A439" s="222"/>
      <c r="B439" s="25"/>
      <c r="C439" s="55"/>
      <c r="D439" s="55"/>
      <c r="E439" s="56"/>
      <c r="F439" s="68"/>
      <c r="G439" s="69"/>
      <c r="H439" s="68"/>
      <c r="I439" s="225"/>
      <c r="J439" s="225"/>
      <c r="K439" s="3"/>
      <c r="L439" s="3"/>
    </row>
    <row r="440" spans="1:12" x14ac:dyDescent="0.25">
      <c r="A440" s="222"/>
      <c r="B440" s="25"/>
      <c r="C440" s="55"/>
      <c r="D440" s="55"/>
      <c r="E440" s="56"/>
      <c r="F440" s="68"/>
      <c r="G440" s="69"/>
      <c r="H440" s="68"/>
      <c r="I440" s="225"/>
      <c r="J440" s="225"/>
      <c r="K440" s="3"/>
      <c r="L440" s="3"/>
    </row>
    <row r="441" spans="1:12" x14ac:dyDescent="0.25">
      <c r="A441" s="222"/>
      <c r="B441" s="25"/>
      <c r="C441" s="55"/>
      <c r="D441" s="55"/>
      <c r="E441" s="56"/>
      <c r="F441" s="68"/>
      <c r="G441" s="69"/>
      <c r="H441" s="68"/>
      <c r="I441" s="225"/>
      <c r="J441" s="225"/>
      <c r="K441" s="3"/>
      <c r="L441" s="3"/>
    </row>
    <row r="442" spans="1:12" x14ac:dyDescent="0.25">
      <c r="A442" s="222"/>
      <c r="B442" s="25"/>
      <c r="C442" s="55"/>
      <c r="D442" s="55"/>
      <c r="E442" s="56"/>
      <c r="F442" s="68"/>
      <c r="G442" s="69"/>
      <c r="H442" s="68"/>
      <c r="I442" s="225"/>
      <c r="J442" s="225"/>
      <c r="K442" s="3"/>
      <c r="L442" s="3"/>
    </row>
    <row r="443" spans="1:12" x14ac:dyDescent="0.25">
      <c r="A443" s="222"/>
      <c r="B443" s="25"/>
      <c r="C443" s="55"/>
      <c r="D443" s="55"/>
      <c r="E443" s="56"/>
      <c r="F443" s="68"/>
      <c r="G443" s="69"/>
      <c r="H443" s="68"/>
      <c r="I443" s="225"/>
      <c r="J443" s="225"/>
      <c r="K443" s="3"/>
      <c r="L443" s="3"/>
    </row>
    <row r="444" spans="1:12" x14ac:dyDescent="0.25">
      <c r="A444" s="222"/>
      <c r="B444" s="25"/>
      <c r="C444" s="55"/>
      <c r="D444" s="55"/>
      <c r="E444" s="56"/>
      <c r="F444" s="68"/>
      <c r="G444" s="69"/>
      <c r="H444" s="68"/>
      <c r="I444" s="225"/>
      <c r="J444" s="225"/>
      <c r="K444" s="3"/>
      <c r="L444" s="3"/>
    </row>
    <row r="445" spans="1:12" x14ac:dyDescent="0.25">
      <c r="A445" s="222"/>
      <c r="B445" s="25"/>
      <c r="C445" s="55"/>
      <c r="D445" s="55"/>
      <c r="E445" s="56"/>
      <c r="F445" s="68"/>
      <c r="G445" s="69"/>
      <c r="H445" s="68"/>
      <c r="I445" s="225"/>
      <c r="J445" s="225"/>
      <c r="K445" s="3"/>
      <c r="L445" s="3"/>
    </row>
    <row r="446" spans="1:12" x14ac:dyDescent="0.25">
      <c r="A446" s="222"/>
      <c r="B446" s="25"/>
      <c r="C446" s="55"/>
      <c r="D446" s="55"/>
      <c r="E446" s="56"/>
      <c r="F446" s="68"/>
      <c r="G446" s="69"/>
      <c r="H446" s="68"/>
      <c r="I446" s="225"/>
      <c r="J446" s="225"/>
      <c r="K446" s="3"/>
      <c r="L446" s="3"/>
    </row>
    <row r="447" spans="1:12" x14ac:dyDescent="0.25">
      <c r="A447" s="222"/>
      <c r="B447" s="25"/>
      <c r="C447" s="55"/>
      <c r="D447" s="55"/>
      <c r="E447" s="56"/>
      <c r="F447" s="68"/>
      <c r="G447" s="69"/>
      <c r="H447" s="68"/>
      <c r="I447" s="225"/>
      <c r="J447" s="225"/>
      <c r="K447" s="3"/>
      <c r="L447" s="3"/>
    </row>
    <row r="448" spans="1:12" x14ac:dyDescent="0.25">
      <c r="A448" s="222"/>
      <c r="B448" s="25"/>
      <c r="C448" s="55"/>
      <c r="D448" s="55"/>
      <c r="E448" s="56"/>
      <c r="F448" s="68"/>
      <c r="G448" s="69"/>
      <c r="H448" s="68"/>
      <c r="I448" s="225"/>
      <c r="J448" s="225"/>
      <c r="K448" s="3"/>
      <c r="L448" s="3"/>
    </row>
    <row r="449" spans="1:12" x14ac:dyDescent="0.25">
      <c r="A449" s="222"/>
      <c r="B449" s="25"/>
      <c r="C449" s="55"/>
      <c r="D449" s="55"/>
      <c r="E449" s="56"/>
      <c r="F449" s="68"/>
      <c r="G449" s="69"/>
      <c r="H449" s="68"/>
      <c r="I449" s="225"/>
      <c r="J449" s="225"/>
      <c r="K449" s="3"/>
      <c r="L449" s="3"/>
    </row>
    <row r="450" spans="1:12" x14ac:dyDescent="0.25">
      <c r="A450" s="222"/>
      <c r="B450" s="25"/>
      <c r="C450" s="55"/>
      <c r="D450" s="55"/>
      <c r="E450" s="56"/>
      <c r="F450" s="68"/>
      <c r="G450" s="69"/>
      <c r="H450" s="68"/>
      <c r="I450" s="225"/>
      <c r="J450" s="225"/>
      <c r="K450" s="3"/>
      <c r="L450" s="3"/>
    </row>
    <row r="451" spans="1:12" x14ac:dyDescent="0.25">
      <c r="A451" s="222"/>
      <c r="B451" s="25"/>
      <c r="C451" s="55"/>
      <c r="D451" s="55"/>
      <c r="E451" s="56"/>
      <c r="F451" s="68"/>
      <c r="G451" s="69"/>
      <c r="H451" s="68"/>
      <c r="I451" s="225"/>
      <c r="J451" s="225"/>
      <c r="K451" s="3"/>
      <c r="L451" s="3"/>
    </row>
    <row r="452" spans="1:12" x14ac:dyDescent="0.25">
      <c r="A452" s="222"/>
      <c r="B452" s="25"/>
      <c r="C452" s="55"/>
      <c r="D452" s="55"/>
      <c r="E452" s="56"/>
      <c r="F452" s="68"/>
      <c r="G452" s="69"/>
      <c r="H452" s="68"/>
      <c r="I452" s="225"/>
      <c r="J452" s="225"/>
      <c r="K452" s="3"/>
      <c r="L452" s="3"/>
    </row>
    <row r="453" spans="1:12" x14ac:dyDescent="0.25">
      <c r="A453" s="222"/>
      <c r="B453" s="25"/>
      <c r="C453" s="55"/>
      <c r="D453" s="55"/>
      <c r="E453" s="56"/>
      <c r="F453" s="68"/>
      <c r="G453" s="69"/>
      <c r="H453" s="68"/>
      <c r="I453" s="225"/>
      <c r="J453" s="225"/>
      <c r="K453" s="3"/>
      <c r="L453" s="3"/>
    </row>
    <row r="454" spans="1:12" x14ac:dyDescent="0.25">
      <c r="A454" s="222"/>
      <c r="B454" s="25"/>
      <c r="C454" s="55"/>
      <c r="D454" s="55"/>
      <c r="E454" s="56"/>
      <c r="F454" s="68"/>
      <c r="G454" s="69"/>
      <c r="H454" s="68"/>
      <c r="I454" s="225"/>
      <c r="J454" s="225"/>
      <c r="K454" s="3"/>
      <c r="L454" s="3"/>
    </row>
    <row r="455" spans="1:12" x14ac:dyDescent="0.25">
      <c r="A455" s="222"/>
      <c r="B455" s="25"/>
      <c r="C455" s="55"/>
      <c r="D455" s="55"/>
      <c r="E455" s="56"/>
      <c r="F455" s="68"/>
      <c r="G455" s="69"/>
      <c r="H455" s="68"/>
      <c r="I455" s="225"/>
      <c r="J455" s="225"/>
      <c r="K455" s="3"/>
      <c r="L455" s="3"/>
    </row>
    <row r="456" spans="1:12" x14ac:dyDescent="0.25">
      <c r="A456" s="222"/>
      <c r="B456" s="25"/>
      <c r="C456" s="55"/>
      <c r="D456" s="55"/>
      <c r="E456" s="56"/>
      <c r="F456" s="68"/>
      <c r="G456" s="69"/>
      <c r="H456" s="68"/>
      <c r="I456" s="225"/>
      <c r="J456" s="225"/>
      <c r="K456" s="3"/>
      <c r="L456" s="3"/>
    </row>
    <row r="457" spans="1:12" x14ac:dyDescent="0.25">
      <c r="A457" s="222"/>
      <c r="B457" s="25"/>
      <c r="C457" s="55"/>
      <c r="D457" s="55"/>
      <c r="E457" s="56"/>
      <c r="F457" s="68"/>
      <c r="G457" s="69"/>
      <c r="H457" s="68"/>
      <c r="I457" s="225"/>
      <c r="J457" s="225"/>
      <c r="K457" s="3"/>
      <c r="L457" s="3"/>
    </row>
    <row r="458" spans="1:12" x14ac:dyDescent="0.25">
      <c r="A458" s="222"/>
      <c r="B458" s="25"/>
      <c r="C458" s="55"/>
      <c r="D458" s="55"/>
      <c r="E458" s="56"/>
      <c r="F458" s="68"/>
      <c r="G458" s="69"/>
      <c r="H458" s="68"/>
      <c r="I458" s="225"/>
      <c r="J458" s="225"/>
      <c r="K458" s="3"/>
      <c r="L458" s="3"/>
    </row>
    <row r="459" spans="1:12" x14ac:dyDescent="0.25">
      <c r="A459" s="222"/>
      <c r="B459" s="25"/>
      <c r="C459" s="55"/>
      <c r="D459" s="55"/>
      <c r="E459" s="56"/>
      <c r="F459" s="68"/>
      <c r="G459" s="69"/>
      <c r="H459" s="68"/>
      <c r="I459" s="225"/>
      <c r="J459" s="225"/>
      <c r="K459" s="3"/>
      <c r="L459" s="3"/>
    </row>
    <row r="460" spans="1:12" x14ac:dyDescent="0.25">
      <c r="A460" s="222"/>
      <c r="B460" s="25"/>
      <c r="C460" s="55"/>
      <c r="D460" s="55"/>
      <c r="E460" s="56"/>
      <c r="F460" s="68"/>
      <c r="G460" s="69"/>
      <c r="H460" s="68"/>
      <c r="I460" s="225"/>
      <c r="J460" s="225"/>
      <c r="K460" s="3"/>
      <c r="L460" s="3"/>
    </row>
    <row r="461" spans="1:12" x14ac:dyDescent="0.25">
      <c r="A461" s="222"/>
      <c r="B461" s="25"/>
      <c r="C461" s="55"/>
      <c r="D461" s="55"/>
      <c r="E461" s="56"/>
      <c r="F461" s="68"/>
      <c r="G461" s="69"/>
      <c r="H461" s="68"/>
      <c r="I461" s="225"/>
      <c r="J461" s="225"/>
      <c r="K461" s="3"/>
      <c r="L461" s="3"/>
    </row>
    <row r="462" spans="1:12" x14ac:dyDescent="0.25">
      <c r="A462" s="222"/>
      <c r="B462" s="25"/>
      <c r="C462" s="55"/>
      <c r="D462" s="55"/>
      <c r="E462" s="56"/>
      <c r="F462" s="68"/>
      <c r="G462" s="69"/>
      <c r="H462" s="68"/>
      <c r="I462" s="225"/>
      <c r="J462" s="225"/>
      <c r="K462" s="3"/>
      <c r="L462" s="3"/>
    </row>
    <row r="463" spans="1:12" x14ac:dyDescent="0.25">
      <c r="A463" s="222"/>
      <c r="B463" s="25"/>
      <c r="C463" s="55"/>
      <c r="D463" s="55"/>
      <c r="E463" s="56"/>
      <c r="F463" s="68"/>
      <c r="G463" s="69"/>
      <c r="H463" s="68"/>
      <c r="I463" s="225"/>
      <c r="J463" s="225"/>
      <c r="K463" s="3"/>
      <c r="L463" s="3"/>
    </row>
    <row r="464" spans="1:12" x14ac:dyDescent="0.25">
      <c r="A464" s="222"/>
      <c r="B464" s="25"/>
      <c r="C464" s="55"/>
      <c r="D464" s="55"/>
      <c r="E464" s="56"/>
      <c r="F464" s="68"/>
      <c r="G464" s="69"/>
      <c r="H464" s="68"/>
      <c r="I464" s="225"/>
      <c r="J464" s="225"/>
      <c r="K464" s="3"/>
      <c r="L464" s="3"/>
    </row>
    <row r="465" spans="1:12" x14ac:dyDescent="0.25">
      <c r="A465" s="222"/>
      <c r="B465" s="25"/>
      <c r="C465" s="55"/>
      <c r="D465" s="55"/>
      <c r="E465" s="56"/>
      <c r="F465" s="68"/>
      <c r="G465" s="69"/>
      <c r="H465" s="68"/>
      <c r="I465" s="225"/>
      <c r="J465" s="225"/>
      <c r="K465" s="3"/>
      <c r="L465" s="3"/>
    </row>
    <row r="466" spans="1:12" x14ac:dyDescent="0.25">
      <c r="A466" s="222"/>
      <c r="B466" s="25"/>
      <c r="C466" s="55"/>
      <c r="D466" s="55"/>
      <c r="E466" s="56"/>
      <c r="F466" s="68"/>
      <c r="G466" s="69"/>
      <c r="H466" s="68"/>
      <c r="I466" s="225"/>
      <c r="J466" s="225"/>
      <c r="K466" s="3"/>
      <c r="L466" s="3"/>
    </row>
    <row r="467" spans="1:12" x14ac:dyDescent="0.25">
      <c r="A467" s="222"/>
      <c r="B467" s="25"/>
      <c r="C467" s="55"/>
      <c r="D467" s="55"/>
      <c r="E467" s="56"/>
      <c r="F467" s="68"/>
      <c r="G467" s="69"/>
      <c r="H467" s="68"/>
      <c r="I467" s="225"/>
      <c r="J467" s="225"/>
      <c r="K467" s="3"/>
      <c r="L467" s="3"/>
    </row>
    <row r="468" spans="1:12" x14ac:dyDescent="0.25">
      <c r="A468" s="222"/>
      <c r="B468" s="25"/>
      <c r="C468" s="55"/>
      <c r="D468" s="55"/>
      <c r="E468" s="56"/>
      <c r="F468" s="68"/>
      <c r="G468" s="69"/>
      <c r="H468" s="68"/>
      <c r="I468" s="225"/>
      <c r="J468" s="225"/>
      <c r="K468" s="3"/>
      <c r="L468" s="3"/>
    </row>
    <row r="469" spans="1:12" x14ac:dyDescent="0.25">
      <c r="A469" s="222"/>
      <c r="B469" s="25"/>
      <c r="C469" s="55"/>
      <c r="D469" s="55"/>
      <c r="E469" s="56"/>
      <c r="F469" s="68"/>
      <c r="G469" s="69"/>
      <c r="H469" s="68"/>
      <c r="I469" s="225"/>
      <c r="J469" s="225"/>
      <c r="K469" s="3"/>
      <c r="L469" s="3"/>
    </row>
    <row r="470" spans="1:12" x14ac:dyDescent="0.25">
      <c r="A470" s="222"/>
      <c r="B470" s="25"/>
      <c r="C470" s="55"/>
      <c r="D470" s="55"/>
      <c r="E470" s="56"/>
      <c r="F470" s="68"/>
      <c r="G470" s="69"/>
      <c r="H470" s="68"/>
      <c r="I470" s="225"/>
      <c r="J470" s="225"/>
      <c r="K470" s="3"/>
      <c r="L470" s="3"/>
    </row>
    <row r="471" spans="1:12" x14ac:dyDescent="0.25">
      <c r="A471" s="222"/>
      <c r="B471" s="25"/>
      <c r="C471" s="55"/>
      <c r="D471" s="55"/>
      <c r="E471" s="56"/>
      <c r="F471" s="68"/>
      <c r="G471" s="69"/>
      <c r="H471" s="68"/>
      <c r="I471" s="225"/>
      <c r="J471" s="225"/>
      <c r="K471" s="3"/>
      <c r="L471" s="3"/>
    </row>
    <row r="472" spans="1:12" x14ac:dyDescent="0.25">
      <c r="A472" s="222"/>
      <c r="B472" s="25"/>
      <c r="C472" s="55"/>
      <c r="D472" s="55"/>
      <c r="E472" s="56"/>
      <c r="F472" s="68"/>
      <c r="G472" s="69"/>
      <c r="H472" s="68"/>
      <c r="I472" s="225"/>
      <c r="J472" s="225"/>
      <c r="K472" s="3"/>
      <c r="L472" s="3"/>
    </row>
    <row r="473" spans="1:12" x14ac:dyDescent="0.25">
      <c r="A473" s="222"/>
      <c r="B473" s="25"/>
      <c r="C473" s="55"/>
      <c r="D473" s="55"/>
      <c r="E473" s="56"/>
      <c r="F473" s="68"/>
      <c r="G473" s="69"/>
      <c r="H473" s="68"/>
      <c r="I473" s="225"/>
      <c r="J473" s="225"/>
      <c r="K473" s="3"/>
      <c r="L473" s="3"/>
    </row>
    <row r="474" spans="1:12" x14ac:dyDescent="0.25">
      <c r="A474" s="222"/>
      <c r="B474" s="25"/>
      <c r="C474" s="55"/>
      <c r="D474" s="55"/>
      <c r="E474" s="56"/>
      <c r="F474" s="68"/>
      <c r="G474" s="69"/>
      <c r="H474" s="68"/>
      <c r="I474" s="225"/>
      <c r="J474" s="225"/>
      <c r="K474" s="3"/>
      <c r="L474" s="3"/>
    </row>
    <row r="475" spans="1:12" x14ac:dyDescent="0.25">
      <c r="A475" s="222"/>
      <c r="B475" s="25"/>
      <c r="C475" s="55"/>
      <c r="D475" s="55"/>
      <c r="E475" s="56"/>
      <c r="F475" s="68"/>
      <c r="G475" s="69"/>
      <c r="H475" s="68"/>
      <c r="I475" s="225"/>
      <c r="J475" s="225"/>
      <c r="K475" s="3"/>
      <c r="L475" s="3"/>
    </row>
    <row r="476" spans="1:12" x14ac:dyDescent="0.25">
      <c r="A476" s="222"/>
      <c r="B476" s="25"/>
      <c r="C476" s="55"/>
      <c r="D476" s="55"/>
      <c r="E476" s="56"/>
      <c r="F476" s="68"/>
      <c r="G476" s="69"/>
      <c r="H476" s="68"/>
      <c r="I476" s="225"/>
      <c r="J476" s="225"/>
      <c r="K476" s="3"/>
      <c r="L476" s="3"/>
    </row>
    <row r="477" spans="1:12" x14ac:dyDescent="0.25">
      <c r="A477" s="222"/>
      <c r="B477" s="25"/>
      <c r="C477" s="55"/>
      <c r="D477" s="55"/>
      <c r="E477" s="56"/>
      <c r="F477" s="68"/>
      <c r="G477" s="69"/>
      <c r="H477" s="68"/>
      <c r="I477" s="225"/>
      <c r="J477" s="225"/>
      <c r="K477" s="3"/>
      <c r="L477" s="3"/>
    </row>
    <row r="478" spans="1:12" x14ac:dyDescent="0.25">
      <c r="A478" s="222"/>
      <c r="B478" s="25"/>
      <c r="C478" s="55"/>
      <c r="D478" s="55"/>
      <c r="E478" s="56"/>
      <c r="F478" s="68"/>
      <c r="G478" s="69"/>
      <c r="H478" s="68"/>
      <c r="I478" s="225"/>
      <c r="J478" s="225"/>
      <c r="K478" s="3"/>
      <c r="L478" s="3"/>
    </row>
    <row r="479" spans="1:12" x14ac:dyDescent="0.25">
      <c r="A479" s="222"/>
      <c r="B479" s="25"/>
      <c r="C479" s="55"/>
      <c r="D479" s="55"/>
      <c r="E479" s="56"/>
      <c r="F479" s="68"/>
      <c r="G479" s="69"/>
      <c r="H479" s="68"/>
      <c r="I479" s="225"/>
      <c r="J479" s="225"/>
      <c r="K479" s="3"/>
      <c r="L479" s="3"/>
    </row>
    <row r="480" spans="1:12" x14ac:dyDescent="0.25">
      <c r="A480" s="222"/>
      <c r="B480" s="25"/>
      <c r="C480" s="55"/>
      <c r="D480" s="55"/>
      <c r="E480" s="56"/>
      <c r="F480" s="68"/>
      <c r="G480" s="69"/>
      <c r="H480" s="68"/>
      <c r="I480" s="225"/>
      <c r="J480" s="225"/>
      <c r="K480" s="3"/>
      <c r="L480" s="3"/>
    </row>
    <row r="481" spans="1:12" x14ac:dyDescent="0.25">
      <c r="A481" s="222"/>
      <c r="B481" s="25"/>
      <c r="C481" s="55"/>
      <c r="D481" s="55"/>
      <c r="E481" s="56"/>
      <c r="F481" s="68"/>
      <c r="G481" s="69"/>
      <c r="H481" s="68"/>
      <c r="I481" s="225"/>
      <c r="J481" s="225"/>
      <c r="K481" s="3"/>
      <c r="L481" s="3"/>
    </row>
    <row r="482" spans="1:12" x14ac:dyDescent="0.25">
      <c r="A482" s="222"/>
      <c r="B482" s="25"/>
      <c r="C482" s="55"/>
      <c r="D482" s="55"/>
      <c r="E482" s="56"/>
      <c r="F482" s="68"/>
      <c r="G482" s="69"/>
      <c r="H482" s="68"/>
      <c r="I482" s="225"/>
      <c r="J482" s="225"/>
      <c r="K482" s="3"/>
      <c r="L482" s="3"/>
    </row>
    <row r="483" spans="1:12" x14ac:dyDescent="0.25">
      <c r="A483" s="222"/>
      <c r="B483" s="25"/>
      <c r="C483" s="55"/>
      <c r="D483" s="55"/>
      <c r="E483" s="56"/>
      <c r="F483" s="68"/>
      <c r="G483" s="69"/>
      <c r="H483" s="68"/>
      <c r="I483" s="225"/>
      <c r="J483" s="225"/>
      <c r="K483" s="3"/>
      <c r="L483" s="3"/>
    </row>
    <row r="484" spans="1:12" x14ac:dyDescent="0.25">
      <c r="A484" s="222"/>
      <c r="B484" s="25"/>
      <c r="C484" s="55"/>
      <c r="D484" s="55"/>
      <c r="E484" s="56"/>
      <c r="F484" s="68"/>
      <c r="G484" s="69"/>
      <c r="H484" s="68"/>
      <c r="I484" s="225"/>
      <c r="J484" s="225"/>
      <c r="K484" s="3"/>
      <c r="L484" s="3"/>
    </row>
    <row r="485" spans="1:12" x14ac:dyDescent="0.25">
      <c r="A485" s="222"/>
      <c r="B485" s="25"/>
      <c r="C485" s="55"/>
      <c r="D485" s="55"/>
      <c r="E485" s="56"/>
      <c r="F485" s="68"/>
      <c r="G485" s="69"/>
      <c r="H485" s="68"/>
      <c r="I485" s="225"/>
      <c r="J485" s="225"/>
      <c r="K485" s="3"/>
      <c r="L485" s="3"/>
    </row>
    <row r="486" spans="1:12" x14ac:dyDescent="0.25">
      <c r="A486" s="222"/>
      <c r="B486" s="25"/>
      <c r="C486" s="55"/>
      <c r="D486" s="55"/>
      <c r="E486" s="56"/>
      <c r="F486" s="68"/>
      <c r="G486" s="69"/>
      <c r="H486" s="68"/>
      <c r="I486" s="225"/>
      <c r="J486" s="225"/>
      <c r="K486" s="3"/>
      <c r="L486" s="3"/>
    </row>
    <row r="487" spans="1:12" x14ac:dyDescent="0.25">
      <c r="A487" s="222"/>
      <c r="B487" s="25"/>
      <c r="C487" s="55"/>
      <c r="D487" s="55"/>
      <c r="E487" s="56"/>
      <c r="F487" s="68"/>
      <c r="G487" s="69"/>
      <c r="H487" s="68"/>
      <c r="I487" s="225"/>
      <c r="J487" s="225"/>
      <c r="K487" s="3"/>
      <c r="L487" s="3"/>
    </row>
    <row r="488" spans="1:12" x14ac:dyDescent="0.25">
      <c r="A488" s="222"/>
      <c r="B488" s="25"/>
      <c r="C488" s="55"/>
      <c r="D488" s="55"/>
      <c r="E488" s="56"/>
      <c r="F488" s="68"/>
      <c r="G488" s="69"/>
      <c r="H488" s="68"/>
      <c r="I488" s="225"/>
      <c r="J488" s="225"/>
      <c r="K488" s="3"/>
      <c r="L488" s="3"/>
    </row>
    <row r="489" spans="1:12" x14ac:dyDescent="0.25">
      <c r="A489" s="222"/>
      <c r="B489" s="25"/>
      <c r="C489" s="55"/>
      <c r="D489" s="55"/>
      <c r="E489" s="56"/>
      <c r="F489" s="68"/>
      <c r="G489" s="69"/>
      <c r="H489" s="68"/>
      <c r="I489" s="225"/>
      <c r="J489" s="225"/>
      <c r="K489" s="3"/>
      <c r="L489" s="3"/>
    </row>
    <row r="490" spans="1:12" x14ac:dyDescent="0.25">
      <c r="A490" s="222"/>
      <c r="B490" s="25"/>
      <c r="C490" s="55"/>
      <c r="D490" s="55"/>
      <c r="E490" s="56"/>
      <c r="F490" s="68"/>
      <c r="G490" s="69"/>
      <c r="H490" s="68"/>
      <c r="I490" s="225"/>
      <c r="J490" s="225"/>
      <c r="K490" s="3"/>
      <c r="L490" s="3"/>
    </row>
    <row r="491" spans="1:12" x14ac:dyDescent="0.25">
      <c r="A491" s="222"/>
      <c r="B491" s="25"/>
      <c r="C491" s="55"/>
      <c r="D491" s="55"/>
      <c r="E491" s="56"/>
      <c r="F491" s="68"/>
      <c r="G491" s="69"/>
      <c r="H491" s="68"/>
      <c r="I491" s="225"/>
      <c r="J491" s="225"/>
      <c r="K491" s="3"/>
      <c r="L491" s="3"/>
    </row>
    <row r="492" spans="1:12" x14ac:dyDescent="0.25">
      <c r="A492" s="222"/>
      <c r="B492" s="25"/>
      <c r="C492" s="55"/>
      <c r="D492" s="55"/>
      <c r="E492" s="56"/>
      <c r="F492" s="68"/>
      <c r="G492" s="69"/>
      <c r="H492" s="68"/>
      <c r="I492" s="225"/>
      <c r="J492" s="225"/>
      <c r="K492" s="3"/>
      <c r="L492" s="3"/>
    </row>
    <row r="493" spans="1:12" x14ac:dyDescent="0.25">
      <c r="A493" s="222"/>
      <c r="B493" s="25"/>
      <c r="C493" s="55"/>
      <c r="D493" s="55"/>
      <c r="E493" s="56"/>
      <c r="F493" s="68"/>
      <c r="G493" s="69"/>
      <c r="H493" s="68"/>
      <c r="I493" s="225"/>
      <c r="J493" s="225"/>
      <c r="K493" s="3"/>
      <c r="L493" s="3"/>
    </row>
    <row r="494" spans="1:12" x14ac:dyDescent="0.25">
      <c r="A494" s="222"/>
      <c r="B494" s="25"/>
      <c r="C494" s="55"/>
      <c r="D494" s="55"/>
      <c r="E494" s="56"/>
      <c r="F494" s="68"/>
      <c r="G494" s="69"/>
      <c r="H494" s="68"/>
      <c r="I494" s="225"/>
      <c r="J494" s="225"/>
      <c r="K494" s="3"/>
      <c r="L494" s="3"/>
    </row>
    <row r="495" spans="1:12" x14ac:dyDescent="0.25">
      <c r="A495" s="222"/>
      <c r="B495" s="25"/>
      <c r="C495" s="55"/>
      <c r="D495" s="55"/>
      <c r="E495" s="56"/>
      <c r="F495" s="68"/>
      <c r="G495" s="69"/>
      <c r="H495" s="68"/>
      <c r="I495" s="225"/>
      <c r="J495" s="225"/>
      <c r="K495" s="3"/>
      <c r="L495" s="3"/>
    </row>
    <row r="496" spans="1:12" x14ac:dyDescent="0.25">
      <c r="A496" s="222"/>
      <c r="B496" s="25"/>
      <c r="C496" s="55"/>
      <c r="D496" s="55"/>
      <c r="E496" s="56"/>
      <c r="F496" s="68"/>
      <c r="G496" s="69"/>
      <c r="H496" s="68"/>
      <c r="I496" s="225"/>
      <c r="J496" s="225"/>
      <c r="K496" s="3"/>
      <c r="L496" s="3"/>
    </row>
    <row r="497" spans="1:12" x14ac:dyDescent="0.25">
      <c r="A497" s="222"/>
      <c r="B497" s="25"/>
      <c r="C497" s="55"/>
      <c r="D497" s="55"/>
      <c r="E497" s="56"/>
      <c r="F497" s="68"/>
      <c r="G497" s="69"/>
      <c r="H497" s="68"/>
      <c r="I497" s="225"/>
      <c r="J497" s="225"/>
      <c r="K497" s="3"/>
      <c r="L497" s="3"/>
    </row>
    <row r="498" spans="1:12" x14ac:dyDescent="0.25">
      <c r="A498" s="222"/>
      <c r="B498" s="25"/>
      <c r="C498" s="55"/>
      <c r="D498" s="55"/>
      <c r="E498" s="56"/>
      <c r="F498" s="68"/>
      <c r="G498" s="69"/>
      <c r="H498" s="68"/>
      <c r="I498" s="225"/>
      <c r="J498" s="225"/>
      <c r="K498" s="3"/>
      <c r="L498" s="3"/>
    </row>
    <row r="499" spans="1:12" x14ac:dyDescent="0.25">
      <c r="A499" s="222"/>
      <c r="B499" s="25"/>
      <c r="C499" s="55"/>
      <c r="D499" s="55"/>
      <c r="E499" s="56"/>
      <c r="F499" s="68"/>
      <c r="G499" s="69"/>
      <c r="H499" s="68"/>
      <c r="I499" s="225"/>
      <c r="J499" s="225"/>
      <c r="K499" s="3"/>
      <c r="L499" s="3"/>
    </row>
    <row r="500" spans="1:12" x14ac:dyDescent="0.25">
      <c r="A500" s="222"/>
      <c r="B500" s="25"/>
      <c r="C500" s="55"/>
      <c r="D500" s="55"/>
      <c r="E500" s="56"/>
      <c r="F500" s="68"/>
      <c r="G500" s="69"/>
      <c r="H500" s="68"/>
      <c r="I500" s="225"/>
      <c r="J500" s="225"/>
      <c r="K500" s="3"/>
      <c r="L500" s="3"/>
    </row>
    <row r="501" spans="1:12" x14ac:dyDescent="0.25">
      <c r="A501" s="222"/>
      <c r="B501" s="25"/>
      <c r="C501" s="55"/>
      <c r="D501" s="55"/>
      <c r="E501" s="56"/>
      <c r="F501" s="68"/>
      <c r="G501" s="69"/>
      <c r="H501" s="68"/>
      <c r="I501" s="225"/>
      <c r="J501" s="225"/>
      <c r="K501" s="3"/>
      <c r="L501" s="3"/>
    </row>
    <row r="502" spans="1:12" x14ac:dyDescent="0.25">
      <c r="A502" s="222"/>
      <c r="B502" s="25"/>
      <c r="C502" s="55"/>
      <c r="D502" s="55"/>
      <c r="E502" s="56"/>
      <c r="F502" s="68"/>
      <c r="G502" s="69"/>
      <c r="H502" s="68"/>
      <c r="I502" s="225"/>
      <c r="J502" s="225"/>
      <c r="K502" s="3"/>
      <c r="L502" s="3"/>
    </row>
    <row r="503" spans="1:12" x14ac:dyDescent="0.25">
      <c r="A503" s="222"/>
      <c r="B503" s="25"/>
      <c r="C503" s="55"/>
      <c r="D503" s="55"/>
      <c r="E503" s="56"/>
      <c r="F503" s="68"/>
      <c r="G503" s="69"/>
      <c r="H503" s="68"/>
      <c r="I503" s="225"/>
      <c r="J503" s="225"/>
      <c r="K503" s="3"/>
      <c r="L503" s="3"/>
    </row>
    <row r="504" spans="1:12" x14ac:dyDescent="0.25">
      <c r="A504" s="222"/>
      <c r="B504" s="25"/>
      <c r="C504" s="55"/>
      <c r="D504" s="55"/>
      <c r="E504" s="56"/>
      <c r="F504" s="68"/>
      <c r="G504" s="69"/>
      <c r="H504" s="68"/>
      <c r="I504" s="225"/>
      <c r="J504" s="225"/>
      <c r="K504" s="3"/>
      <c r="L504" s="3"/>
    </row>
    <row r="505" spans="1:12" x14ac:dyDescent="0.25">
      <c r="A505" s="222"/>
      <c r="B505" s="25"/>
      <c r="C505" s="55"/>
      <c r="D505" s="55"/>
      <c r="E505" s="56"/>
      <c r="F505" s="68"/>
      <c r="G505" s="69"/>
      <c r="H505" s="68"/>
      <c r="I505" s="225"/>
      <c r="J505" s="225"/>
      <c r="K505" s="3"/>
      <c r="L505" s="3"/>
    </row>
    <row r="506" spans="1:12" x14ac:dyDescent="0.25">
      <c r="A506" s="222"/>
      <c r="B506" s="25"/>
      <c r="C506" s="55"/>
      <c r="D506" s="55"/>
      <c r="E506" s="56"/>
      <c r="F506" s="68"/>
      <c r="G506" s="69"/>
      <c r="H506" s="68"/>
      <c r="I506" s="225"/>
      <c r="J506" s="225"/>
      <c r="K506" s="3"/>
      <c r="L506" s="3"/>
    </row>
    <row r="507" spans="1:12" x14ac:dyDescent="0.25">
      <c r="A507" s="222"/>
      <c r="B507" s="25"/>
      <c r="C507" s="55"/>
      <c r="D507" s="55"/>
      <c r="E507" s="56"/>
      <c r="F507" s="68"/>
      <c r="G507" s="69"/>
      <c r="H507" s="68"/>
      <c r="I507" s="225"/>
      <c r="J507" s="225"/>
      <c r="K507" s="3"/>
      <c r="L507" s="3"/>
    </row>
    <row r="508" spans="1:12" x14ac:dyDescent="0.25">
      <c r="A508" s="222"/>
      <c r="B508" s="25"/>
      <c r="C508" s="55"/>
      <c r="D508" s="55"/>
      <c r="E508" s="56"/>
      <c r="F508" s="68"/>
      <c r="G508" s="69"/>
      <c r="H508" s="68"/>
      <c r="I508" s="225"/>
      <c r="J508" s="225"/>
      <c r="K508" s="3"/>
      <c r="L508" s="3"/>
    </row>
    <row r="509" spans="1:12" x14ac:dyDescent="0.25">
      <c r="A509" s="222"/>
      <c r="B509" s="25"/>
      <c r="C509" s="55"/>
      <c r="D509" s="55"/>
      <c r="E509" s="56"/>
      <c r="F509" s="68"/>
      <c r="G509" s="69"/>
      <c r="H509" s="68"/>
      <c r="I509" s="225"/>
      <c r="J509" s="225"/>
      <c r="K509" s="3"/>
      <c r="L509" s="3"/>
    </row>
    <row r="510" spans="1:12" x14ac:dyDescent="0.25">
      <c r="A510" s="222"/>
      <c r="B510" s="25"/>
      <c r="C510" s="55"/>
      <c r="D510" s="55"/>
      <c r="E510" s="56"/>
      <c r="F510" s="68"/>
      <c r="G510" s="69"/>
      <c r="H510" s="68"/>
      <c r="I510" s="225"/>
      <c r="J510" s="225"/>
      <c r="K510" s="3"/>
      <c r="L510" s="3"/>
    </row>
    <row r="511" spans="1:12" x14ac:dyDescent="0.25">
      <c r="A511" s="222"/>
      <c r="B511" s="25"/>
      <c r="C511" s="55"/>
      <c r="D511" s="55"/>
      <c r="E511" s="56"/>
      <c r="F511" s="68"/>
      <c r="G511" s="69"/>
      <c r="H511" s="68"/>
      <c r="I511" s="225"/>
      <c r="J511" s="225"/>
      <c r="K511" s="3"/>
      <c r="L511" s="3"/>
    </row>
    <row r="512" spans="1:12" x14ac:dyDescent="0.25">
      <c r="A512" s="222"/>
      <c r="B512" s="25"/>
      <c r="C512" s="55"/>
      <c r="D512" s="55"/>
      <c r="E512" s="56"/>
      <c r="F512" s="68"/>
      <c r="G512" s="69"/>
      <c r="H512" s="68"/>
      <c r="I512" s="225"/>
      <c r="J512" s="225"/>
      <c r="K512" s="3"/>
      <c r="L512" s="3"/>
    </row>
    <row r="513" spans="1:12" x14ac:dyDescent="0.25">
      <c r="A513" s="222"/>
      <c r="B513" s="25"/>
      <c r="C513" s="55"/>
      <c r="D513" s="55"/>
      <c r="E513" s="56"/>
      <c r="F513" s="68"/>
      <c r="G513" s="69"/>
      <c r="H513" s="68"/>
      <c r="I513" s="225"/>
      <c r="J513" s="225"/>
      <c r="K513" s="3"/>
      <c r="L513" s="3"/>
    </row>
    <row r="514" spans="1:12" x14ac:dyDescent="0.25">
      <c r="A514" s="222"/>
      <c r="B514" s="25"/>
      <c r="C514" s="55"/>
      <c r="D514" s="55"/>
      <c r="E514" s="56"/>
      <c r="F514" s="68"/>
      <c r="G514" s="69"/>
      <c r="H514" s="68"/>
      <c r="I514" s="225"/>
      <c r="J514" s="225"/>
      <c r="K514" s="3"/>
      <c r="L514" s="3"/>
    </row>
    <row r="515" spans="1:12" x14ac:dyDescent="0.25">
      <c r="A515" s="222"/>
      <c r="B515" s="25"/>
      <c r="C515" s="55"/>
      <c r="D515" s="55"/>
      <c r="E515" s="56"/>
      <c r="F515" s="68"/>
      <c r="G515" s="69"/>
      <c r="H515" s="68"/>
      <c r="I515" s="225"/>
      <c r="J515" s="225"/>
      <c r="K515" s="3"/>
      <c r="L515" s="3"/>
    </row>
    <row r="516" spans="1:12" x14ac:dyDescent="0.25">
      <c r="A516" s="222"/>
      <c r="B516" s="25"/>
      <c r="C516" s="55"/>
      <c r="D516" s="55"/>
      <c r="E516" s="56"/>
      <c r="F516" s="68"/>
      <c r="G516" s="69"/>
      <c r="H516" s="68"/>
      <c r="I516" s="225"/>
      <c r="J516" s="225"/>
      <c r="K516" s="3"/>
      <c r="L516" s="3"/>
    </row>
    <row r="517" spans="1:12" x14ac:dyDescent="0.25">
      <c r="A517" s="222"/>
      <c r="B517" s="25"/>
      <c r="C517" s="55"/>
      <c r="D517" s="55"/>
      <c r="E517" s="56"/>
      <c r="F517" s="68"/>
      <c r="G517" s="69"/>
      <c r="H517" s="68"/>
      <c r="I517" s="225"/>
      <c r="J517" s="225"/>
      <c r="K517" s="3"/>
      <c r="L517" s="3"/>
    </row>
    <row r="518" spans="1:12" x14ac:dyDescent="0.25">
      <c r="A518" s="222"/>
      <c r="B518" s="25"/>
      <c r="C518" s="55"/>
      <c r="D518" s="55"/>
      <c r="E518" s="56"/>
      <c r="F518" s="68"/>
      <c r="G518" s="69"/>
      <c r="H518" s="68"/>
      <c r="I518" s="225"/>
      <c r="J518" s="225"/>
      <c r="K518" s="3"/>
      <c r="L518" s="3"/>
    </row>
    <row r="519" spans="1:12" x14ac:dyDescent="0.25">
      <c r="A519" s="222"/>
      <c r="B519" s="25"/>
      <c r="C519" s="55"/>
      <c r="D519" s="55"/>
      <c r="E519" s="56"/>
      <c r="F519" s="68"/>
      <c r="G519" s="69"/>
      <c r="H519" s="68"/>
      <c r="I519" s="225"/>
      <c r="J519" s="225"/>
      <c r="K519" s="3"/>
      <c r="L519" s="3"/>
    </row>
    <row r="520" spans="1:12" x14ac:dyDescent="0.25">
      <c r="A520" s="222"/>
      <c r="B520" s="25"/>
      <c r="C520" s="55"/>
      <c r="D520" s="55"/>
      <c r="E520" s="56"/>
      <c r="F520" s="68"/>
      <c r="G520" s="69"/>
      <c r="H520" s="68"/>
      <c r="I520" s="225"/>
      <c r="J520" s="225"/>
      <c r="K520" s="3"/>
      <c r="L520" s="3"/>
    </row>
    <row r="521" spans="1:12" x14ac:dyDescent="0.25">
      <c r="A521" s="222"/>
      <c r="B521" s="25"/>
      <c r="C521" s="55"/>
      <c r="D521" s="55"/>
      <c r="E521" s="56"/>
      <c r="F521" s="68"/>
      <c r="G521" s="69"/>
      <c r="H521" s="68"/>
      <c r="I521" s="225"/>
      <c r="J521" s="225"/>
      <c r="K521" s="3"/>
      <c r="L521" s="3"/>
    </row>
    <row r="522" spans="1:12" x14ac:dyDescent="0.25">
      <c r="A522" s="222"/>
      <c r="B522" s="25"/>
      <c r="C522" s="55"/>
      <c r="D522" s="55"/>
      <c r="E522" s="56"/>
      <c r="F522" s="68"/>
      <c r="G522" s="69"/>
      <c r="H522" s="68"/>
      <c r="I522" s="225"/>
      <c r="J522" s="225"/>
      <c r="K522" s="3"/>
      <c r="L522" s="3"/>
    </row>
    <row r="523" spans="1:12" x14ac:dyDescent="0.25">
      <c r="A523" s="222"/>
      <c r="B523" s="25"/>
      <c r="C523" s="55"/>
      <c r="D523" s="55"/>
      <c r="E523" s="56"/>
      <c r="F523" s="68"/>
      <c r="G523" s="69"/>
      <c r="H523" s="68"/>
      <c r="I523" s="225"/>
      <c r="J523" s="225"/>
      <c r="K523" s="3"/>
      <c r="L523" s="3"/>
    </row>
    <row r="524" spans="1:12" x14ac:dyDescent="0.25">
      <c r="A524" s="222"/>
      <c r="B524" s="25"/>
      <c r="C524" s="55"/>
      <c r="D524" s="55"/>
      <c r="E524" s="56"/>
      <c r="F524" s="68"/>
      <c r="G524" s="69"/>
      <c r="H524" s="68"/>
      <c r="I524" s="225"/>
      <c r="J524" s="225"/>
      <c r="K524" s="3"/>
      <c r="L524" s="3"/>
    </row>
    <row r="525" spans="1:12" x14ac:dyDescent="0.25">
      <c r="A525" s="222"/>
      <c r="B525" s="25"/>
      <c r="C525" s="55"/>
      <c r="D525" s="55"/>
      <c r="E525" s="56"/>
      <c r="F525" s="68"/>
      <c r="G525" s="69"/>
      <c r="H525" s="68"/>
      <c r="I525" s="225"/>
      <c r="J525" s="225"/>
      <c r="K525" s="3"/>
      <c r="L525" s="3"/>
    </row>
    <row r="526" spans="1:12" x14ac:dyDescent="0.25">
      <c r="A526" s="222"/>
      <c r="B526" s="25"/>
      <c r="C526" s="55"/>
      <c r="D526" s="55"/>
      <c r="E526" s="56"/>
      <c r="F526" s="68"/>
      <c r="G526" s="69"/>
      <c r="H526" s="68"/>
      <c r="I526" s="225"/>
      <c r="J526" s="225"/>
      <c r="K526" s="3"/>
      <c r="L526" s="3"/>
    </row>
    <row r="527" spans="1:12" x14ac:dyDescent="0.25">
      <c r="A527" s="222"/>
      <c r="B527" s="25"/>
      <c r="C527" s="55"/>
      <c r="D527" s="55"/>
      <c r="E527" s="56"/>
      <c r="F527" s="68"/>
      <c r="G527" s="69"/>
      <c r="H527" s="68"/>
      <c r="I527" s="225"/>
      <c r="J527" s="225"/>
      <c r="K527" s="3"/>
      <c r="L527" s="3"/>
    </row>
    <row r="528" spans="1:12" x14ac:dyDescent="0.25">
      <c r="A528" s="222"/>
      <c r="B528" s="25"/>
      <c r="C528" s="55"/>
      <c r="D528" s="55"/>
      <c r="E528" s="56"/>
      <c r="F528" s="68"/>
      <c r="G528" s="69"/>
      <c r="H528" s="68"/>
      <c r="I528" s="225"/>
      <c r="J528" s="225"/>
      <c r="K528" s="3"/>
      <c r="L528" s="3"/>
    </row>
    <row r="529" spans="1:12" x14ac:dyDescent="0.25">
      <c r="A529" s="222"/>
      <c r="B529" s="25"/>
      <c r="C529" s="55"/>
      <c r="D529" s="55"/>
      <c r="E529" s="56"/>
      <c r="F529" s="68"/>
      <c r="G529" s="69"/>
      <c r="H529" s="68"/>
      <c r="I529" s="225"/>
      <c r="J529" s="225"/>
      <c r="K529" s="3"/>
      <c r="L529" s="3"/>
    </row>
    <row r="530" spans="1:12" x14ac:dyDescent="0.25">
      <c r="A530" s="222"/>
      <c r="B530" s="25"/>
      <c r="C530" s="55"/>
      <c r="D530" s="55"/>
      <c r="E530" s="56"/>
      <c r="F530" s="68"/>
      <c r="G530" s="69"/>
      <c r="H530" s="68"/>
      <c r="I530" s="225"/>
      <c r="J530" s="225"/>
      <c r="K530" s="3"/>
      <c r="L530" s="3"/>
    </row>
    <row r="531" spans="1:12" x14ac:dyDescent="0.25">
      <c r="A531" s="222"/>
      <c r="B531" s="25"/>
      <c r="C531" s="55"/>
      <c r="D531" s="55"/>
      <c r="E531" s="56"/>
      <c r="F531" s="68"/>
      <c r="G531" s="69"/>
      <c r="H531" s="68"/>
      <c r="I531" s="225"/>
      <c r="J531" s="225"/>
      <c r="K531" s="3"/>
      <c r="L531" s="3"/>
    </row>
    <row r="532" spans="1:12" x14ac:dyDescent="0.25">
      <c r="A532" s="222"/>
      <c r="B532" s="25"/>
      <c r="C532" s="55"/>
      <c r="D532" s="55"/>
      <c r="E532" s="56"/>
      <c r="F532" s="68"/>
      <c r="G532" s="69"/>
      <c r="H532" s="68"/>
      <c r="I532" s="225"/>
      <c r="J532" s="225"/>
      <c r="K532" s="3"/>
      <c r="L532" s="3"/>
    </row>
    <row r="533" spans="1:12" x14ac:dyDescent="0.25">
      <c r="A533" s="222"/>
      <c r="B533" s="25"/>
      <c r="C533" s="55"/>
      <c r="D533" s="55"/>
      <c r="E533" s="56"/>
      <c r="F533" s="68"/>
      <c r="G533" s="69"/>
      <c r="H533" s="68"/>
      <c r="I533" s="225"/>
      <c r="J533" s="225"/>
      <c r="K533" s="3"/>
      <c r="L533" s="3"/>
    </row>
    <row r="534" spans="1:12" x14ac:dyDescent="0.25">
      <c r="A534" s="222"/>
      <c r="B534" s="25"/>
      <c r="C534" s="55"/>
      <c r="D534" s="55"/>
      <c r="E534" s="56"/>
      <c r="F534" s="68"/>
      <c r="G534" s="69"/>
      <c r="H534" s="68"/>
      <c r="I534" s="225"/>
      <c r="J534" s="225"/>
      <c r="K534" s="3"/>
      <c r="L534" s="3"/>
    </row>
    <row r="535" spans="1:12" x14ac:dyDescent="0.25">
      <c r="A535" s="222"/>
      <c r="B535" s="25"/>
      <c r="C535" s="55"/>
      <c r="D535" s="55"/>
      <c r="E535" s="56"/>
      <c r="F535" s="68"/>
      <c r="G535" s="69"/>
      <c r="H535" s="68"/>
      <c r="I535" s="225"/>
      <c r="J535" s="225"/>
      <c r="K535" s="3"/>
      <c r="L535" s="3"/>
    </row>
    <row r="536" spans="1:12" x14ac:dyDescent="0.25">
      <c r="A536" s="222"/>
      <c r="B536" s="25"/>
      <c r="C536" s="55"/>
      <c r="D536" s="55"/>
      <c r="E536" s="56"/>
      <c r="F536" s="68"/>
      <c r="G536" s="69"/>
      <c r="H536" s="68"/>
      <c r="I536" s="225"/>
      <c r="J536" s="225"/>
      <c r="K536" s="3"/>
      <c r="L536" s="3"/>
    </row>
    <row r="537" spans="1:12" x14ac:dyDescent="0.25">
      <c r="A537" s="222"/>
      <c r="B537" s="25"/>
      <c r="C537" s="55"/>
      <c r="D537" s="55"/>
      <c r="E537" s="56"/>
      <c r="F537" s="68"/>
      <c r="G537" s="69"/>
      <c r="H537" s="68"/>
      <c r="I537" s="225"/>
      <c r="J537" s="225"/>
      <c r="K537" s="3"/>
      <c r="L537" s="3"/>
    </row>
    <row r="538" spans="1:12" x14ac:dyDescent="0.25">
      <c r="A538" s="222"/>
      <c r="B538" s="25"/>
      <c r="C538" s="55"/>
      <c r="D538" s="55"/>
      <c r="E538" s="56"/>
      <c r="F538" s="68"/>
      <c r="G538" s="69"/>
      <c r="H538" s="68"/>
      <c r="I538" s="225"/>
      <c r="J538" s="225"/>
      <c r="K538" s="3"/>
      <c r="L538" s="3"/>
    </row>
    <row r="539" spans="1:12" x14ac:dyDescent="0.25">
      <c r="A539" s="222"/>
      <c r="B539" s="25"/>
      <c r="C539" s="55"/>
      <c r="D539" s="55"/>
      <c r="E539" s="56"/>
      <c r="F539" s="68"/>
      <c r="G539" s="69"/>
      <c r="H539" s="68"/>
      <c r="I539" s="225"/>
      <c r="J539" s="225"/>
      <c r="K539" s="3"/>
      <c r="L539" s="3"/>
    </row>
    <row r="540" spans="1:12" x14ac:dyDescent="0.25">
      <c r="A540" s="222"/>
      <c r="B540" s="25"/>
      <c r="C540" s="55"/>
      <c r="D540" s="55"/>
      <c r="E540" s="56"/>
      <c r="F540" s="68"/>
      <c r="G540" s="69"/>
      <c r="H540" s="68"/>
      <c r="I540" s="225"/>
      <c r="J540" s="225"/>
      <c r="K540" s="3"/>
      <c r="L540" s="3"/>
    </row>
    <row r="541" spans="1:12" x14ac:dyDescent="0.25">
      <c r="A541" s="222"/>
      <c r="B541" s="25"/>
      <c r="C541" s="55"/>
      <c r="D541" s="55"/>
      <c r="E541" s="56"/>
      <c r="F541" s="68"/>
      <c r="G541" s="69"/>
      <c r="H541" s="68"/>
      <c r="I541" s="225"/>
      <c r="J541" s="225"/>
      <c r="K541" s="3"/>
      <c r="L541" s="3"/>
    </row>
    <row r="542" spans="1:12" x14ac:dyDescent="0.25">
      <c r="A542" s="222"/>
      <c r="B542" s="25"/>
      <c r="C542" s="55"/>
      <c r="D542" s="55"/>
      <c r="E542" s="56"/>
      <c r="F542" s="68"/>
      <c r="G542" s="69"/>
      <c r="H542" s="68"/>
      <c r="I542" s="225"/>
      <c r="J542" s="225"/>
      <c r="K542" s="3"/>
      <c r="L542" s="3"/>
    </row>
    <row r="543" spans="1:12" x14ac:dyDescent="0.25">
      <c r="A543" s="222"/>
      <c r="B543" s="25"/>
      <c r="C543" s="55"/>
      <c r="D543" s="55"/>
      <c r="E543" s="56"/>
      <c r="F543" s="68"/>
      <c r="G543" s="69"/>
      <c r="H543" s="68"/>
      <c r="I543" s="225"/>
      <c r="J543" s="225"/>
      <c r="K543" s="3"/>
      <c r="L543" s="3"/>
    </row>
    <row r="544" spans="1:12" x14ac:dyDescent="0.25">
      <c r="A544" s="222"/>
      <c r="B544" s="25"/>
      <c r="C544" s="55"/>
      <c r="D544" s="55"/>
      <c r="E544" s="56"/>
      <c r="F544" s="68"/>
      <c r="G544" s="69"/>
      <c r="H544" s="68"/>
      <c r="I544" s="225"/>
      <c r="J544" s="225"/>
      <c r="K544" s="3"/>
      <c r="L544" s="3"/>
    </row>
    <row r="545" spans="1:12" x14ac:dyDescent="0.25">
      <c r="A545" s="222"/>
      <c r="B545" s="25"/>
      <c r="C545" s="55"/>
      <c r="D545" s="55"/>
      <c r="E545" s="56"/>
      <c r="F545" s="68"/>
      <c r="G545" s="69"/>
      <c r="H545" s="68"/>
      <c r="I545" s="225"/>
      <c r="J545" s="225"/>
      <c r="K545" s="3"/>
      <c r="L545" s="3"/>
    </row>
    <row r="546" spans="1:12" x14ac:dyDescent="0.25">
      <c r="A546" s="222"/>
      <c r="B546" s="25"/>
      <c r="C546" s="55"/>
      <c r="D546" s="55"/>
      <c r="E546" s="56"/>
      <c r="F546" s="68"/>
      <c r="G546" s="69"/>
      <c r="H546" s="68"/>
      <c r="I546" s="225"/>
      <c r="J546" s="225"/>
      <c r="K546" s="3"/>
      <c r="L546" s="3"/>
    </row>
    <row r="547" spans="1:12" x14ac:dyDescent="0.25">
      <c r="A547" s="222"/>
      <c r="B547" s="25"/>
      <c r="C547" s="55"/>
      <c r="D547" s="55"/>
      <c r="E547" s="56"/>
      <c r="F547" s="68"/>
      <c r="G547" s="69"/>
      <c r="H547" s="68"/>
      <c r="I547" s="225"/>
      <c r="J547" s="225"/>
      <c r="K547" s="3"/>
      <c r="L547" s="3"/>
    </row>
    <row r="548" spans="1:12" x14ac:dyDescent="0.25">
      <c r="A548" s="222"/>
      <c r="B548" s="25"/>
      <c r="C548" s="55"/>
      <c r="D548" s="55"/>
      <c r="E548" s="56"/>
      <c r="F548" s="68"/>
      <c r="G548" s="69"/>
      <c r="H548" s="68"/>
      <c r="I548" s="225"/>
      <c r="J548" s="225"/>
      <c r="K548" s="3"/>
      <c r="L548" s="3"/>
    </row>
    <row r="549" spans="1:12" x14ac:dyDescent="0.25">
      <c r="A549" s="222"/>
      <c r="B549" s="25"/>
      <c r="C549" s="55"/>
      <c r="D549" s="55"/>
      <c r="E549" s="56"/>
      <c r="F549" s="68"/>
      <c r="G549" s="69"/>
      <c r="H549" s="68"/>
      <c r="I549" s="225"/>
      <c r="J549" s="225"/>
      <c r="K549" s="3"/>
      <c r="L549" s="3"/>
    </row>
    <row r="550" spans="1:12" x14ac:dyDescent="0.25">
      <c r="A550" s="222"/>
      <c r="B550" s="25"/>
      <c r="C550" s="55"/>
      <c r="D550" s="55"/>
      <c r="E550" s="56"/>
      <c r="F550" s="68"/>
      <c r="G550" s="69"/>
      <c r="H550" s="68"/>
      <c r="I550" s="225"/>
      <c r="J550" s="225"/>
      <c r="K550" s="3"/>
      <c r="L550" s="3"/>
    </row>
    <row r="551" spans="1:12" x14ac:dyDescent="0.25">
      <c r="A551" s="222"/>
      <c r="B551" s="25"/>
      <c r="C551" s="55"/>
      <c r="D551" s="55"/>
      <c r="E551" s="56"/>
      <c r="F551" s="68"/>
      <c r="G551" s="69"/>
      <c r="H551" s="68"/>
      <c r="I551" s="225"/>
      <c r="J551" s="225"/>
      <c r="K551" s="3"/>
      <c r="L551" s="3"/>
    </row>
    <row r="552" spans="1:12" x14ac:dyDescent="0.25">
      <c r="A552" s="222"/>
      <c r="B552" s="25"/>
      <c r="C552" s="55"/>
      <c r="D552" s="55"/>
      <c r="E552" s="56"/>
      <c r="F552" s="68"/>
      <c r="G552" s="69"/>
      <c r="H552" s="68"/>
      <c r="I552" s="225"/>
      <c r="J552" s="225"/>
      <c r="K552" s="3"/>
      <c r="L552" s="3"/>
    </row>
    <row r="553" spans="1:12" x14ac:dyDescent="0.25">
      <c r="A553" s="222"/>
      <c r="B553" s="25"/>
      <c r="C553" s="55"/>
      <c r="D553" s="55"/>
      <c r="E553" s="56"/>
      <c r="F553" s="68"/>
      <c r="G553" s="69"/>
      <c r="H553" s="68"/>
      <c r="I553" s="225"/>
      <c r="J553" s="225"/>
      <c r="K553" s="3"/>
      <c r="L553" s="3"/>
    </row>
    <row r="554" spans="1:12" x14ac:dyDescent="0.25">
      <c r="A554" s="222"/>
      <c r="B554" s="25"/>
      <c r="C554" s="55"/>
      <c r="D554" s="55"/>
      <c r="E554" s="56"/>
      <c r="F554" s="68"/>
      <c r="G554" s="69"/>
      <c r="H554" s="68"/>
      <c r="I554" s="225"/>
      <c r="J554" s="225"/>
      <c r="K554" s="3"/>
      <c r="L554" s="3"/>
    </row>
    <row r="555" spans="1:12" x14ac:dyDescent="0.25">
      <c r="A555" s="222"/>
      <c r="B555" s="25"/>
      <c r="C555" s="55"/>
      <c r="D555" s="55"/>
      <c r="E555" s="56"/>
      <c r="F555" s="68"/>
      <c r="G555" s="69"/>
      <c r="H555" s="68"/>
      <c r="I555" s="225"/>
      <c r="J555" s="225"/>
      <c r="K555" s="3"/>
      <c r="L555" s="3"/>
    </row>
    <row r="556" spans="1:12" x14ac:dyDescent="0.25">
      <c r="A556" s="222"/>
      <c r="B556" s="25"/>
      <c r="C556" s="55"/>
      <c r="D556" s="55"/>
      <c r="E556" s="56"/>
      <c r="F556" s="68"/>
      <c r="G556" s="69"/>
      <c r="H556" s="68"/>
      <c r="I556" s="225"/>
      <c r="J556" s="225"/>
      <c r="K556" s="3"/>
      <c r="L556" s="3"/>
    </row>
    <row r="557" spans="1:12" x14ac:dyDescent="0.25">
      <c r="A557" s="222"/>
      <c r="B557" s="25"/>
      <c r="C557" s="55"/>
      <c r="D557" s="55"/>
      <c r="E557" s="56"/>
      <c r="F557" s="68"/>
      <c r="G557" s="69"/>
      <c r="H557" s="68"/>
      <c r="I557" s="225"/>
      <c r="J557" s="225"/>
      <c r="K557" s="3"/>
      <c r="L557" s="3"/>
    </row>
    <row r="558" spans="1:12" x14ac:dyDescent="0.25">
      <c r="A558" s="222"/>
      <c r="B558" s="25"/>
      <c r="C558" s="55"/>
      <c r="D558" s="55"/>
      <c r="E558" s="56"/>
      <c r="F558" s="68"/>
      <c r="G558" s="69"/>
      <c r="H558" s="68"/>
      <c r="I558" s="225"/>
      <c r="J558" s="225"/>
      <c r="K558" s="3"/>
      <c r="L558" s="3"/>
    </row>
    <row r="559" spans="1:12" x14ac:dyDescent="0.25">
      <c r="A559" s="222"/>
      <c r="B559" s="25"/>
      <c r="C559" s="55"/>
      <c r="D559" s="55"/>
      <c r="E559" s="56"/>
      <c r="F559" s="68"/>
      <c r="G559" s="69"/>
      <c r="H559" s="68"/>
      <c r="I559" s="225"/>
      <c r="J559" s="225"/>
      <c r="K559" s="3"/>
      <c r="L559" s="3"/>
    </row>
    <row r="560" spans="1:12" x14ac:dyDescent="0.25">
      <c r="A560" s="222"/>
      <c r="B560" s="25"/>
      <c r="C560" s="55"/>
      <c r="D560" s="55"/>
      <c r="E560" s="56"/>
      <c r="F560" s="68"/>
      <c r="G560" s="69"/>
      <c r="H560" s="68"/>
      <c r="I560" s="225"/>
      <c r="J560" s="225"/>
      <c r="K560" s="3"/>
      <c r="L560" s="3"/>
    </row>
    <row r="561" spans="1:12" x14ac:dyDescent="0.25">
      <c r="A561" s="222"/>
      <c r="B561" s="25"/>
      <c r="C561" s="55"/>
      <c r="D561" s="55"/>
      <c r="E561" s="56"/>
      <c r="F561" s="68"/>
      <c r="G561" s="69"/>
      <c r="H561" s="68"/>
      <c r="I561" s="225"/>
      <c r="J561" s="225"/>
      <c r="K561" s="3"/>
      <c r="L561" s="3"/>
    </row>
    <row r="562" spans="1:12" x14ac:dyDescent="0.25">
      <c r="A562" s="222"/>
      <c r="B562" s="25"/>
      <c r="C562" s="55"/>
      <c r="D562" s="55"/>
      <c r="E562" s="56"/>
      <c r="F562" s="68"/>
      <c r="G562" s="69"/>
      <c r="H562" s="68"/>
      <c r="I562" s="225"/>
      <c r="J562" s="225"/>
      <c r="K562" s="3"/>
      <c r="L562" s="3"/>
    </row>
    <row r="563" spans="1:12" x14ac:dyDescent="0.25">
      <c r="A563" s="222"/>
      <c r="B563" s="25"/>
      <c r="C563" s="55"/>
      <c r="D563" s="55"/>
      <c r="E563" s="56"/>
      <c r="F563" s="68"/>
      <c r="G563" s="69"/>
      <c r="H563" s="68"/>
      <c r="I563" s="225"/>
      <c r="J563" s="225"/>
      <c r="K563" s="3"/>
      <c r="L563" s="3"/>
    </row>
    <row r="564" spans="1:12" x14ac:dyDescent="0.25">
      <c r="A564" s="222"/>
      <c r="B564" s="25"/>
      <c r="C564" s="55"/>
      <c r="D564" s="55"/>
      <c r="E564" s="56"/>
      <c r="F564" s="68"/>
      <c r="G564" s="69"/>
      <c r="H564" s="68"/>
      <c r="I564" s="225"/>
      <c r="J564" s="225"/>
      <c r="K564" s="3"/>
      <c r="L564" s="3"/>
    </row>
    <row r="565" spans="1:12" x14ac:dyDescent="0.25">
      <c r="A565" s="222"/>
      <c r="B565" s="25"/>
      <c r="C565" s="55"/>
      <c r="D565" s="55"/>
      <c r="E565" s="56"/>
      <c r="F565" s="68"/>
      <c r="G565" s="69"/>
      <c r="H565" s="68"/>
      <c r="I565" s="225"/>
      <c r="J565" s="225"/>
      <c r="K565" s="3"/>
      <c r="L565" s="3"/>
    </row>
    <row r="566" spans="1:12" x14ac:dyDescent="0.25">
      <c r="A566" s="222"/>
      <c r="B566" s="25"/>
      <c r="C566" s="55"/>
      <c r="D566" s="55"/>
      <c r="E566" s="56"/>
      <c r="F566" s="68"/>
      <c r="G566" s="69"/>
      <c r="H566" s="68"/>
      <c r="I566" s="225"/>
      <c r="J566" s="225"/>
      <c r="K566" s="3"/>
      <c r="L566" s="3"/>
    </row>
    <row r="567" spans="1:12" x14ac:dyDescent="0.25">
      <c r="A567" s="222"/>
      <c r="B567" s="25"/>
      <c r="C567" s="55"/>
      <c r="D567" s="55"/>
      <c r="E567" s="56"/>
      <c r="F567" s="68"/>
      <c r="G567" s="69"/>
      <c r="H567" s="68"/>
      <c r="I567" s="225"/>
      <c r="J567" s="225"/>
      <c r="K567" s="3"/>
      <c r="L567" s="3"/>
    </row>
    <row r="568" spans="1:12" x14ac:dyDescent="0.25">
      <c r="A568" s="222"/>
      <c r="B568" s="25"/>
      <c r="C568" s="55"/>
      <c r="D568" s="55"/>
      <c r="E568" s="56"/>
      <c r="F568" s="68"/>
      <c r="G568" s="69"/>
      <c r="H568" s="68"/>
      <c r="I568" s="225"/>
      <c r="J568" s="225"/>
      <c r="K568" s="3"/>
      <c r="L568" s="3"/>
    </row>
    <row r="569" spans="1:12" x14ac:dyDescent="0.25">
      <c r="A569" s="222"/>
      <c r="B569" s="25"/>
      <c r="C569" s="55"/>
      <c r="D569" s="55"/>
      <c r="E569" s="56"/>
      <c r="F569" s="68"/>
      <c r="G569" s="69"/>
      <c r="H569" s="68"/>
      <c r="I569" s="225"/>
      <c r="J569" s="225"/>
      <c r="K569" s="3"/>
      <c r="L569" s="3"/>
    </row>
    <row r="570" spans="1:12" x14ac:dyDescent="0.25">
      <c r="A570" s="222"/>
      <c r="B570" s="25"/>
      <c r="C570" s="55"/>
      <c r="D570" s="55"/>
      <c r="E570" s="56"/>
      <c r="F570" s="68"/>
      <c r="G570" s="69"/>
      <c r="H570" s="68"/>
      <c r="I570" s="225"/>
      <c r="J570" s="225"/>
      <c r="K570" s="3"/>
      <c r="L570" s="3"/>
    </row>
    <row r="571" spans="1:12" x14ac:dyDescent="0.25">
      <c r="A571" s="222"/>
      <c r="B571" s="25"/>
      <c r="C571" s="55"/>
      <c r="D571" s="55"/>
      <c r="E571" s="56"/>
      <c r="F571" s="68"/>
      <c r="G571" s="69"/>
      <c r="H571" s="68"/>
      <c r="I571" s="225"/>
      <c r="J571" s="225"/>
      <c r="K571" s="3"/>
      <c r="L571" s="3"/>
    </row>
    <row r="572" spans="1:12" x14ac:dyDescent="0.25">
      <c r="A572" s="222"/>
      <c r="B572" s="25"/>
      <c r="C572" s="55"/>
      <c r="D572" s="55"/>
      <c r="E572" s="56"/>
      <c r="F572" s="68"/>
      <c r="G572" s="69"/>
      <c r="H572" s="68"/>
      <c r="I572" s="225"/>
      <c r="J572" s="225"/>
      <c r="K572" s="3"/>
      <c r="L572" s="3"/>
    </row>
    <row r="573" spans="1:12" x14ac:dyDescent="0.25">
      <c r="A573" s="222"/>
      <c r="B573" s="25"/>
      <c r="C573" s="55"/>
      <c r="D573" s="55"/>
      <c r="E573" s="56"/>
      <c r="F573" s="68"/>
      <c r="G573" s="69"/>
      <c r="H573" s="68"/>
      <c r="I573" s="225"/>
      <c r="J573" s="225"/>
      <c r="K573" s="3"/>
      <c r="L573" s="3"/>
    </row>
    <row r="574" spans="1:12" x14ac:dyDescent="0.25">
      <c r="A574" s="222"/>
      <c r="B574" s="25"/>
      <c r="C574" s="55"/>
      <c r="D574" s="55"/>
      <c r="E574" s="56"/>
      <c r="F574" s="68"/>
      <c r="G574" s="69"/>
      <c r="H574" s="68"/>
      <c r="I574" s="225"/>
      <c r="J574" s="225"/>
      <c r="K574" s="3"/>
      <c r="L574" s="3"/>
    </row>
    <row r="575" spans="1:12" x14ac:dyDescent="0.25">
      <c r="A575" s="222"/>
      <c r="B575" s="25"/>
      <c r="C575" s="55"/>
      <c r="D575" s="55"/>
      <c r="E575" s="56"/>
      <c r="F575" s="68"/>
      <c r="G575" s="69"/>
      <c r="H575" s="68"/>
      <c r="I575" s="225"/>
      <c r="J575" s="225"/>
      <c r="K575" s="3"/>
      <c r="L575" s="3"/>
    </row>
    <row r="576" spans="1:12" x14ac:dyDescent="0.25">
      <c r="A576" s="222"/>
      <c r="B576" s="25"/>
      <c r="C576" s="55"/>
      <c r="D576" s="55"/>
      <c r="E576" s="56"/>
      <c r="F576" s="68"/>
      <c r="G576" s="69"/>
      <c r="H576" s="68"/>
      <c r="I576" s="225"/>
      <c r="J576" s="225"/>
      <c r="K576" s="3"/>
      <c r="L576" s="3"/>
    </row>
    <row r="577" spans="1:12" x14ac:dyDescent="0.25">
      <c r="A577" s="222"/>
      <c r="B577" s="25"/>
      <c r="C577" s="55"/>
      <c r="D577" s="55"/>
      <c r="E577" s="56"/>
      <c r="F577" s="68"/>
      <c r="G577" s="69"/>
      <c r="H577" s="68"/>
      <c r="I577" s="225"/>
      <c r="J577" s="225"/>
      <c r="K577" s="3"/>
      <c r="L577" s="3"/>
    </row>
    <row r="578" spans="1:12" x14ac:dyDescent="0.25">
      <c r="A578" s="222"/>
      <c r="B578" s="25"/>
      <c r="C578" s="55"/>
      <c r="D578" s="55"/>
      <c r="E578" s="56"/>
      <c r="F578" s="68"/>
      <c r="G578" s="69"/>
      <c r="H578" s="68"/>
      <c r="I578" s="225"/>
      <c r="J578" s="225"/>
      <c r="K578" s="3"/>
      <c r="L578" s="3"/>
    </row>
    <row r="579" spans="1:12" x14ac:dyDescent="0.25">
      <c r="A579" s="222"/>
      <c r="B579" s="25"/>
      <c r="C579" s="55"/>
      <c r="D579" s="55"/>
      <c r="E579" s="56"/>
      <c r="F579" s="68"/>
      <c r="G579" s="69"/>
      <c r="H579" s="68"/>
      <c r="I579" s="225"/>
      <c r="J579" s="225"/>
      <c r="K579" s="3"/>
      <c r="L579" s="3"/>
    </row>
  </sheetData>
  <pageMargins left="0.7" right="0.7" top="0.75" bottom="0.75" header="0.3" footer="0.3"/>
  <pageSetup scale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4"/>
  <sheetViews>
    <sheetView topLeftCell="A31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7.28515625" style="419" bestFit="1" customWidth="1"/>
    <col min="5" max="5" width="11.85546875" style="419" customWidth="1"/>
    <col min="6" max="6" width="13.85546875" style="419" bestFit="1" customWidth="1"/>
    <col min="7" max="7" width="11.85546875" style="419" customWidth="1"/>
    <col min="8" max="8" width="13.42578125" style="419" bestFit="1" customWidth="1"/>
    <col min="9" max="9" width="12.28515625" style="419" bestFit="1" customWidth="1"/>
    <col min="10" max="10" width="13.42578125" style="419" bestFit="1" customWidth="1"/>
    <col min="11" max="26" width="6.28515625" style="419" customWidth="1"/>
    <col min="27" max="16384" width="8.85546875" style="419"/>
  </cols>
  <sheetData>
    <row r="1" spans="1:26" x14ac:dyDescent="0.25">
      <c r="A1" s="418" t="s">
        <v>1215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60" t="s">
        <v>1</v>
      </c>
      <c r="B4" s="56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5" t="s">
        <v>13</v>
      </c>
      <c r="B5" s="530" t="s">
        <v>1620</v>
      </c>
      <c r="C5" s="531">
        <v>8</v>
      </c>
      <c r="D5" s="542">
        <v>7176.9000000000005</v>
      </c>
      <c r="E5" s="535">
        <v>9</v>
      </c>
      <c r="F5" s="542">
        <v>9198</v>
      </c>
      <c r="G5" s="535">
        <f t="shared" ref="G5:H36" si="0">E5-C5</f>
        <v>1</v>
      </c>
      <c r="H5" s="542">
        <f t="shared" si="0"/>
        <v>2021.0999999999995</v>
      </c>
      <c r="I5" s="542"/>
      <c r="J5" s="542">
        <v>3120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1">SUM(K5:Y5)</f>
        <v>0</v>
      </c>
    </row>
    <row r="6" spans="1:26" ht="14.45" customHeight="1" x14ac:dyDescent="0.25">
      <c r="A6" s="535" t="s">
        <v>12</v>
      </c>
      <c r="B6" s="530" t="s">
        <v>1620</v>
      </c>
      <c r="C6" s="531">
        <v>0</v>
      </c>
      <c r="D6" s="542">
        <v>0</v>
      </c>
      <c r="E6" s="535">
        <v>0</v>
      </c>
      <c r="F6" s="542">
        <v>0</v>
      </c>
      <c r="G6" s="535">
        <f t="shared" si="0"/>
        <v>0</v>
      </c>
      <c r="H6" s="542">
        <f t="shared" si="0"/>
        <v>0</v>
      </c>
      <c r="I6" s="542"/>
      <c r="J6" s="542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5" t="s">
        <v>345</v>
      </c>
      <c r="B7" s="530" t="s">
        <v>1620</v>
      </c>
      <c r="C7" s="531">
        <v>2</v>
      </c>
      <c r="D7" s="542">
        <v>2361.15</v>
      </c>
      <c r="E7" s="535">
        <v>2</v>
      </c>
      <c r="F7" s="542">
        <v>2342</v>
      </c>
      <c r="G7" s="535">
        <f t="shared" si="0"/>
        <v>0</v>
      </c>
      <c r="H7" s="542">
        <f t="shared" si="0"/>
        <v>-19.150000000000091</v>
      </c>
      <c r="I7" s="542"/>
      <c r="J7" s="542">
        <v>937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5" t="s">
        <v>344</v>
      </c>
      <c r="B8" s="530" t="s">
        <v>1620</v>
      </c>
      <c r="C8" s="531">
        <v>3</v>
      </c>
      <c r="D8" s="542">
        <v>2272.0500000000002</v>
      </c>
      <c r="E8" s="535">
        <v>3</v>
      </c>
      <c r="F8" s="542">
        <v>2253</v>
      </c>
      <c r="G8" s="535">
        <f t="shared" si="0"/>
        <v>0</v>
      </c>
      <c r="H8" s="542">
        <f t="shared" si="0"/>
        <v>-19.050000000000182</v>
      </c>
      <c r="I8" s="542"/>
      <c r="J8" s="542">
        <v>901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5" t="s">
        <v>342</v>
      </c>
      <c r="B9" s="530" t="s">
        <v>1620</v>
      </c>
      <c r="C9" s="531">
        <v>8</v>
      </c>
      <c r="D9" s="542">
        <v>8046.7000000000016</v>
      </c>
      <c r="E9" s="535">
        <v>9</v>
      </c>
      <c r="F9" s="542">
        <v>8764</v>
      </c>
      <c r="G9" s="535">
        <f t="shared" si="0"/>
        <v>1</v>
      </c>
      <c r="H9" s="542">
        <f t="shared" si="0"/>
        <v>717.29999999999836</v>
      </c>
      <c r="I9" s="542"/>
      <c r="J9" s="542">
        <v>3120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5" t="s">
        <v>14</v>
      </c>
      <c r="B10" s="530" t="s">
        <v>1620</v>
      </c>
      <c r="C10" s="531">
        <v>1</v>
      </c>
      <c r="D10" s="542">
        <v>348.3</v>
      </c>
      <c r="E10" s="535">
        <v>1</v>
      </c>
      <c r="F10" s="542">
        <v>346</v>
      </c>
      <c r="G10" s="535">
        <f t="shared" si="0"/>
        <v>0</v>
      </c>
      <c r="H10" s="542">
        <f t="shared" si="0"/>
        <v>-2.3000000000000114</v>
      </c>
      <c r="I10" s="542"/>
      <c r="J10" s="542">
        <v>138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5" t="s">
        <v>347</v>
      </c>
      <c r="B11" s="530" t="s">
        <v>1620</v>
      </c>
      <c r="C11" s="531">
        <v>7</v>
      </c>
      <c r="D11" s="542">
        <v>5810.35</v>
      </c>
      <c r="E11" s="535">
        <v>8</v>
      </c>
      <c r="F11" s="542">
        <v>5116</v>
      </c>
      <c r="G11" s="535">
        <f t="shared" si="0"/>
        <v>1</v>
      </c>
      <c r="H11" s="542">
        <f t="shared" si="0"/>
        <v>-694.35000000000036</v>
      </c>
      <c r="I11" s="542"/>
      <c r="J11" s="542">
        <v>2046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5" t="s">
        <v>16</v>
      </c>
      <c r="B12" s="530" t="s">
        <v>1620</v>
      </c>
      <c r="C12" s="531">
        <v>7</v>
      </c>
      <c r="D12" s="542">
        <v>4373.3500000000004</v>
      </c>
      <c r="E12" s="535">
        <v>8</v>
      </c>
      <c r="F12" s="542">
        <v>5465</v>
      </c>
      <c r="G12" s="535">
        <f t="shared" si="0"/>
        <v>1</v>
      </c>
      <c r="H12" s="542">
        <f t="shared" si="0"/>
        <v>1091.6499999999996</v>
      </c>
      <c r="I12" s="542"/>
      <c r="J12" s="542">
        <v>2186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5" t="s">
        <v>11</v>
      </c>
      <c r="B13" s="530" t="s">
        <v>1620</v>
      </c>
      <c r="C13" s="531">
        <v>7</v>
      </c>
      <c r="D13" s="542">
        <v>6908.2500000000009</v>
      </c>
      <c r="E13" s="535">
        <v>8</v>
      </c>
      <c r="F13" s="542">
        <v>5899</v>
      </c>
      <c r="G13" s="535">
        <f t="shared" si="0"/>
        <v>1</v>
      </c>
      <c r="H13" s="542">
        <f t="shared" si="0"/>
        <v>-1009.2500000000009</v>
      </c>
      <c r="I13" s="542"/>
      <c r="J13" s="542">
        <v>2360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5" t="s">
        <v>15</v>
      </c>
      <c r="B14" s="530" t="s">
        <v>1620</v>
      </c>
      <c r="C14" s="531">
        <v>8</v>
      </c>
      <c r="D14" s="542">
        <v>4807.0500000000011</v>
      </c>
      <c r="E14" s="535">
        <v>8</v>
      </c>
      <c r="F14" s="542">
        <v>5202</v>
      </c>
      <c r="G14" s="535">
        <f t="shared" si="0"/>
        <v>0</v>
      </c>
      <c r="H14" s="542">
        <f t="shared" si="0"/>
        <v>394.94999999999891</v>
      </c>
      <c r="I14" s="542"/>
      <c r="J14" s="542">
        <v>2081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5" t="s">
        <v>9</v>
      </c>
      <c r="B15" s="530" t="s">
        <v>1620</v>
      </c>
      <c r="C15" s="531">
        <v>5</v>
      </c>
      <c r="D15" s="542">
        <v>2449.6000000000004</v>
      </c>
      <c r="E15" s="535">
        <v>5</v>
      </c>
      <c r="F15" s="542">
        <v>2079</v>
      </c>
      <c r="G15" s="535">
        <f t="shared" si="0"/>
        <v>0</v>
      </c>
      <c r="H15" s="542">
        <f t="shared" si="0"/>
        <v>-370.60000000000036</v>
      </c>
      <c r="I15" s="542"/>
      <c r="J15" s="542">
        <v>832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5" t="s">
        <v>7</v>
      </c>
      <c r="B16" s="530" t="s">
        <v>1620</v>
      </c>
      <c r="C16" s="531">
        <v>9</v>
      </c>
      <c r="D16" s="542">
        <v>13477.550000000001</v>
      </c>
      <c r="E16" s="535">
        <v>9</v>
      </c>
      <c r="F16" s="542">
        <v>13369</v>
      </c>
      <c r="G16" s="535">
        <f t="shared" si="0"/>
        <v>0</v>
      </c>
      <c r="H16" s="542">
        <f t="shared" si="0"/>
        <v>-108.55000000000109</v>
      </c>
      <c r="I16" s="542"/>
      <c r="J16" s="542">
        <v>3120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5" t="s">
        <v>8</v>
      </c>
      <c r="B17" s="530" t="s">
        <v>1620</v>
      </c>
      <c r="C17" s="531">
        <v>2</v>
      </c>
      <c r="D17" s="542">
        <v>696.6</v>
      </c>
      <c r="E17" s="535">
        <v>2</v>
      </c>
      <c r="F17" s="542">
        <v>1040</v>
      </c>
      <c r="G17" s="535">
        <f t="shared" si="0"/>
        <v>0</v>
      </c>
      <c r="H17" s="542">
        <f t="shared" si="0"/>
        <v>343.4</v>
      </c>
      <c r="I17" s="542"/>
      <c r="J17" s="542">
        <v>416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5" t="s">
        <v>1201</v>
      </c>
      <c r="B18" s="530" t="s">
        <v>1620</v>
      </c>
      <c r="C18" s="531">
        <v>8</v>
      </c>
      <c r="D18" s="542">
        <v>6386.2000000000007</v>
      </c>
      <c r="E18" s="535">
        <v>8</v>
      </c>
      <c r="F18" s="542">
        <v>5116</v>
      </c>
      <c r="G18" s="535">
        <f t="shared" si="0"/>
        <v>0</v>
      </c>
      <c r="H18" s="542">
        <f t="shared" si="0"/>
        <v>-1270.2000000000007</v>
      </c>
      <c r="I18" s="542"/>
      <c r="J18" s="542">
        <v>2046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1" t="s">
        <v>1202</v>
      </c>
      <c r="B19" s="531" t="s">
        <v>115</v>
      </c>
      <c r="C19" s="531">
        <v>11</v>
      </c>
      <c r="D19" s="542">
        <v>16766.400000000001</v>
      </c>
      <c r="E19" s="535">
        <v>12</v>
      </c>
      <c r="F19" s="542">
        <v>18577</v>
      </c>
      <c r="G19" s="535">
        <f t="shared" si="0"/>
        <v>1</v>
      </c>
      <c r="H19" s="542">
        <f t="shared" si="0"/>
        <v>1810.5999999999985</v>
      </c>
      <c r="I19" s="542"/>
      <c r="J19" s="542">
        <v>4000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30" t="s">
        <v>377</v>
      </c>
      <c r="B20" s="530" t="s">
        <v>115</v>
      </c>
      <c r="C20" s="531">
        <v>1</v>
      </c>
      <c r="D20" s="542">
        <v>890</v>
      </c>
      <c r="E20" s="535">
        <v>1</v>
      </c>
      <c r="F20" s="542">
        <v>917</v>
      </c>
      <c r="G20" s="535">
        <f t="shared" si="0"/>
        <v>0</v>
      </c>
      <c r="H20" s="542">
        <f t="shared" si="0"/>
        <v>27</v>
      </c>
      <c r="I20" s="542"/>
      <c r="J20" s="542">
        <v>367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1" t="s">
        <v>335</v>
      </c>
      <c r="B21" s="530" t="s">
        <v>115</v>
      </c>
      <c r="C21" s="531">
        <v>4</v>
      </c>
      <c r="D21" s="542">
        <v>4893</v>
      </c>
      <c r="E21" s="535">
        <v>4</v>
      </c>
      <c r="F21" s="542">
        <v>5039</v>
      </c>
      <c r="G21" s="535">
        <f t="shared" si="0"/>
        <v>0</v>
      </c>
      <c r="H21" s="542">
        <f t="shared" si="0"/>
        <v>146</v>
      </c>
      <c r="I21" s="542"/>
      <c r="J21" s="542">
        <v>2016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1" t="s">
        <v>336</v>
      </c>
      <c r="B22" s="530" t="s">
        <v>115</v>
      </c>
      <c r="C22" s="531">
        <v>4</v>
      </c>
      <c r="D22" s="542">
        <v>2666</v>
      </c>
      <c r="E22" s="535">
        <v>4</v>
      </c>
      <c r="F22" s="542">
        <v>2746</v>
      </c>
      <c r="G22" s="535">
        <f t="shared" si="0"/>
        <v>0</v>
      </c>
      <c r="H22" s="542">
        <f t="shared" si="0"/>
        <v>80</v>
      </c>
      <c r="I22" s="542"/>
      <c r="J22" s="542">
        <v>1098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530" t="s">
        <v>234</v>
      </c>
      <c r="B23" s="530" t="s">
        <v>1620</v>
      </c>
      <c r="C23" s="531">
        <v>1</v>
      </c>
      <c r="D23" s="542">
        <v>1643</v>
      </c>
      <c r="E23" s="535">
        <v>1</v>
      </c>
      <c r="F23" s="542">
        <v>1693</v>
      </c>
      <c r="G23" s="535">
        <f t="shared" si="0"/>
        <v>0</v>
      </c>
      <c r="H23" s="542">
        <f t="shared" si="0"/>
        <v>50</v>
      </c>
      <c r="I23" s="542"/>
      <c r="J23" s="542">
        <v>677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530" t="s">
        <v>233</v>
      </c>
      <c r="B24" s="530" t="s">
        <v>1620</v>
      </c>
      <c r="C24" s="531">
        <v>3</v>
      </c>
      <c r="D24" s="542">
        <v>4929</v>
      </c>
      <c r="E24" s="535">
        <v>3</v>
      </c>
      <c r="F24" s="542">
        <v>5079</v>
      </c>
      <c r="G24" s="535">
        <f t="shared" si="0"/>
        <v>0</v>
      </c>
      <c r="H24" s="542">
        <f t="shared" si="0"/>
        <v>150</v>
      </c>
      <c r="I24" s="542"/>
      <c r="J24" s="542">
        <v>2032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530" t="s">
        <v>235</v>
      </c>
      <c r="B25" s="530" t="s">
        <v>1620</v>
      </c>
      <c r="C25" s="531">
        <v>1</v>
      </c>
      <c r="D25" s="542">
        <v>1643</v>
      </c>
      <c r="E25" s="535">
        <v>1</v>
      </c>
      <c r="F25" s="542">
        <v>1693</v>
      </c>
      <c r="G25" s="535">
        <f t="shared" si="0"/>
        <v>0</v>
      </c>
      <c r="H25" s="542">
        <f t="shared" si="0"/>
        <v>50</v>
      </c>
      <c r="I25" s="542"/>
      <c r="J25" s="542">
        <v>677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530" t="s">
        <v>209</v>
      </c>
      <c r="B26" s="530" t="s">
        <v>1620</v>
      </c>
      <c r="C26" s="531">
        <v>6</v>
      </c>
      <c r="D26" s="542">
        <v>9570</v>
      </c>
      <c r="E26" s="535">
        <v>6</v>
      </c>
      <c r="F26" s="542">
        <v>9858</v>
      </c>
      <c r="G26" s="535">
        <f t="shared" si="0"/>
        <v>0</v>
      </c>
      <c r="H26" s="542">
        <f t="shared" si="0"/>
        <v>288</v>
      </c>
      <c r="I26" s="542"/>
      <c r="J26" s="542">
        <v>3943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customHeight="1" x14ac:dyDescent="0.25">
      <c r="A27" s="531" t="s">
        <v>205</v>
      </c>
      <c r="B27" s="530" t="s">
        <v>1620</v>
      </c>
      <c r="C27" s="531">
        <v>9</v>
      </c>
      <c r="D27" s="542">
        <v>11714.400000000001</v>
      </c>
      <c r="E27" s="535">
        <v>9</v>
      </c>
      <c r="F27" s="542">
        <v>11033</v>
      </c>
      <c r="G27" s="535">
        <f t="shared" si="0"/>
        <v>0</v>
      </c>
      <c r="H27" s="542">
        <f t="shared" si="0"/>
        <v>-681.40000000000146</v>
      </c>
      <c r="I27" s="542"/>
      <c r="J27" s="542">
        <v>4000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customHeight="1" x14ac:dyDescent="0.25">
      <c r="A28" s="536" t="s">
        <v>346</v>
      </c>
      <c r="B28" s="530" t="s">
        <v>1620</v>
      </c>
      <c r="C28" s="531">
        <v>10</v>
      </c>
      <c r="D28" s="542">
        <v>16430</v>
      </c>
      <c r="E28" s="535">
        <v>11</v>
      </c>
      <c r="F28" s="542">
        <v>16930</v>
      </c>
      <c r="G28" s="535">
        <f t="shared" si="0"/>
        <v>1</v>
      </c>
      <c r="H28" s="542">
        <f t="shared" si="0"/>
        <v>500</v>
      </c>
      <c r="I28" s="542"/>
      <c r="J28" s="542">
        <v>4244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customHeight="1" x14ac:dyDescent="0.25">
      <c r="A29" s="531" t="s">
        <v>241</v>
      </c>
      <c r="B29" s="530" t="s">
        <v>1620</v>
      </c>
      <c r="C29" s="531">
        <v>7</v>
      </c>
      <c r="D29" s="542">
        <v>7891</v>
      </c>
      <c r="E29" s="535">
        <v>7</v>
      </c>
      <c r="F29" s="542">
        <v>7120</v>
      </c>
      <c r="G29" s="535">
        <f t="shared" si="0"/>
        <v>0</v>
      </c>
      <c r="H29" s="542">
        <f t="shared" si="0"/>
        <v>-771</v>
      </c>
      <c r="I29" s="542"/>
      <c r="J29" s="542">
        <v>2848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customHeight="1" x14ac:dyDescent="0.25">
      <c r="A30" s="531" t="s">
        <v>240</v>
      </c>
      <c r="B30" s="530" t="s">
        <v>1620</v>
      </c>
      <c r="C30" s="531">
        <v>1</v>
      </c>
      <c r="D30" s="542">
        <v>2485</v>
      </c>
      <c r="E30" s="535">
        <v>1</v>
      </c>
      <c r="F30" s="542">
        <v>2560</v>
      </c>
      <c r="G30" s="535">
        <f t="shared" si="0"/>
        <v>0</v>
      </c>
      <c r="H30" s="542">
        <f t="shared" si="0"/>
        <v>75</v>
      </c>
      <c r="I30" s="542"/>
      <c r="J30" s="542">
        <v>1024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customHeight="1" x14ac:dyDescent="0.25">
      <c r="A31" s="531" t="s">
        <v>239</v>
      </c>
      <c r="B31" s="530" t="s">
        <v>1620</v>
      </c>
      <c r="C31" s="531">
        <v>1</v>
      </c>
      <c r="D31" s="542">
        <v>2485</v>
      </c>
      <c r="E31" s="535">
        <v>1</v>
      </c>
      <c r="F31" s="542">
        <v>2560</v>
      </c>
      <c r="G31" s="535">
        <f t="shared" si="0"/>
        <v>0</v>
      </c>
      <c r="H31" s="542">
        <f t="shared" si="0"/>
        <v>75</v>
      </c>
      <c r="I31" s="542"/>
      <c r="J31" s="542">
        <v>1024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customHeight="1" x14ac:dyDescent="0.25">
      <c r="A32" s="531" t="s">
        <v>238</v>
      </c>
      <c r="B32" s="530" t="s">
        <v>1620</v>
      </c>
      <c r="C32" s="531">
        <v>6</v>
      </c>
      <c r="D32" s="542">
        <v>7131</v>
      </c>
      <c r="E32" s="535">
        <v>6</v>
      </c>
      <c r="F32" s="542">
        <v>7790</v>
      </c>
      <c r="G32" s="535">
        <f t="shared" si="0"/>
        <v>0</v>
      </c>
      <c r="H32" s="542">
        <f t="shared" si="0"/>
        <v>659</v>
      </c>
      <c r="I32" s="542"/>
      <c r="J32" s="542">
        <v>3116</v>
      </c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customHeight="1" x14ac:dyDescent="0.25">
      <c r="A33" s="531" t="s">
        <v>237</v>
      </c>
      <c r="B33" s="530" t="s">
        <v>1620</v>
      </c>
      <c r="C33" s="531">
        <v>9</v>
      </c>
      <c r="D33" s="542">
        <v>13126</v>
      </c>
      <c r="E33" s="535">
        <v>9</v>
      </c>
      <c r="F33" s="542">
        <v>14522</v>
      </c>
      <c r="G33" s="535">
        <f t="shared" si="0"/>
        <v>0</v>
      </c>
      <c r="H33" s="542">
        <f t="shared" si="0"/>
        <v>1396</v>
      </c>
      <c r="I33" s="542"/>
      <c r="J33" s="542">
        <v>4000</v>
      </c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531" t="s">
        <v>236</v>
      </c>
      <c r="B34" s="530" t="s">
        <v>1620</v>
      </c>
      <c r="C34" s="531">
        <v>1</v>
      </c>
      <c r="D34" s="542">
        <v>2485</v>
      </c>
      <c r="E34" s="535">
        <v>1</v>
      </c>
      <c r="F34" s="542">
        <v>2560</v>
      </c>
      <c r="G34" s="535">
        <f t="shared" si="0"/>
        <v>0</v>
      </c>
      <c r="H34" s="542">
        <f t="shared" si="0"/>
        <v>75</v>
      </c>
      <c r="I34" s="542"/>
      <c r="J34" s="542">
        <v>1024</v>
      </c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531" t="s">
        <v>296</v>
      </c>
      <c r="B35" s="530" t="s">
        <v>115</v>
      </c>
      <c r="C35" s="531">
        <v>8</v>
      </c>
      <c r="D35" s="542">
        <v>11617.400000000001</v>
      </c>
      <c r="E35" s="535">
        <v>8</v>
      </c>
      <c r="F35" s="542">
        <v>11451</v>
      </c>
      <c r="G35" s="535">
        <f t="shared" si="0"/>
        <v>0</v>
      </c>
      <c r="H35" s="542">
        <f t="shared" si="0"/>
        <v>-166.40000000000146</v>
      </c>
      <c r="I35" s="542"/>
      <c r="J35" s="542">
        <v>4000</v>
      </c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customHeight="1" x14ac:dyDescent="0.25">
      <c r="A36" s="531" t="s">
        <v>62</v>
      </c>
      <c r="B36" s="530" t="s">
        <v>115</v>
      </c>
      <c r="C36" s="531">
        <v>2</v>
      </c>
      <c r="D36" s="542">
        <v>3286</v>
      </c>
      <c r="E36" s="535">
        <v>3</v>
      </c>
      <c r="F36" s="542">
        <v>3386</v>
      </c>
      <c r="G36" s="535">
        <f t="shared" si="0"/>
        <v>1</v>
      </c>
      <c r="H36" s="542">
        <f t="shared" si="0"/>
        <v>100</v>
      </c>
      <c r="I36" s="542"/>
      <c r="J36" s="542">
        <v>1354</v>
      </c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customHeight="1" x14ac:dyDescent="0.25">
      <c r="A37" s="531" t="s">
        <v>1599</v>
      </c>
      <c r="B37" s="530" t="s">
        <v>115</v>
      </c>
      <c r="C37" s="531">
        <v>1</v>
      </c>
      <c r="D37" s="542">
        <v>1643</v>
      </c>
      <c r="E37" s="535">
        <v>1</v>
      </c>
      <c r="F37" s="542">
        <v>1693</v>
      </c>
      <c r="G37" s="535">
        <f t="shared" ref="G37:H68" si="2">E37-C37</f>
        <v>0</v>
      </c>
      <c r="H37" s="542">
        <f t="shared" si="2"/>
        <v>50</v>
      </c>
      <c r="I37" s="542"/>
      <c r="J37" s="542">
        <v>677</v>
      </c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customHeight="1" x14ac:dyDescent="0.25">
      <c r="A38" s="530" t="s">
        <v>177</v>
      </c>
      <c r="B38" s="530" t="s">
        <v>115</v>
      </c>
      <c r="C38" s="531">
        <v>7</v>
      </c>
      <c r="D38" s="542">
        <v>13365</v>
      </c>
      <c r="E38" s="535">
        <v>7</v>
      </c>
      <c r="F38" s="542">
        <v>13701</v>
      </c>
      <c r="G38" s="535">
        <f t="shared" si="2"/>
        <v>0</v>
      </c>
      <c r="H38" s="542">
        <f t="shared" si="2"/>
        <v>336</v>
      </c>
      <c r="I38" s="542"/>
      <c r="J38" s="542">
        <v>4600</v>
      </c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customHeight="1" x14ac:dyDescent="0.25">
      <c r="A39" s="530" t="s">
        <v>105</v>
      </c>
      <c r="B39" s="530" t="s">
        <v>115</v>
      </c>
      <c r="C39" s="531">
        <v>1</v>
      </c>
      <c r="D39" s="542">
        <v>1643</v>
      </c>
      <c r="E39" s="535">
        <v>1</v>
      </c>
      <c r="F39" s="542">
        <v>1693</v>
      </c>
      <c r="G39" s="535">
        <f t="shared" si="2"/>
        <v>0</v>
      </c>
      <c r="H39" s="542">
        <f t="shared" si="2"/>
        <v>50</v>
      </c>
      <c r="I39" s="542"/>
      <c r="J39" s="542">
        <v>677</v>
      </c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customHeight="1" x14ac:dyDescent="0.25">
      <c r="A40" s="530" t="s">
        <v>106</v>
      </c>
      <c r="B40" s="530" t="s">
        <v>115</v>
      </c>
      <c r="C40" s="531">
        <v>1</v>
      </c>
      <c r="D40" s="542">
        <v>1643</v>
      </c>
      <c r="E40" s="535">
        <v>1</v>
      </c>
      <c r="F40" s="542">
        <v>1693</v>
      </c>
      <c r="G40" s="535">
        <f t="shared" si="2"/>
        <v>0</v>
      </c>
      <c r="H40" s="542">
        <f t="shared" si="2"/>
        <v>50</v>
      </c>
      <c r="I40" s="542"/>
      <c r="J40" s="542">
        <v>677</v>
      </c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customHeight="1" x14ac:dyDescent="0.25">
      <c r="A41" s="530" t="s">
        <v>108</v>
      </c>
      <c r="B41" s="530" t="s">
        <v>115</v>
      </c>
      <c r="C41" s="531">
        <v>1</v>
      </c>
      <c r="D41" s="542">
        <v>1643</v>
      </c>
      <c r="E41" s="535">
        <v>1</v>
      </c>
      <c r="F41" s="542">
        <v>1693</v>
      </c>
      <c r="G41" s="535">
        <f t="shared" si="2"/>
        <v>0</v>
      </c>
      <c r="H41" s="542">
        <f t="shared" si="2"/>
        <v>50</v>
      </c>
      <c r="I41" s="542"/>
      <c r="J41" s="542">
        <v>677</v>
      </c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4.45" customHeight="1" x14ac:dyDescent="0.25">
      <c r="A42" s="530" t="s">
        <v>107</v>
      </c>
      <c r="B42" s="530" t="s">
        <v>115</v>
      </c>
      <c r="C42" s="531">
        <v>1</v>
      </c>
      <c r="D42" s="542">
        <v>1643</v>
      </c>
      <c r="E42" s="535">
        <v>1</v>
      </c>
      <c r="F42" s="542">
        <v>1693</v>
      </c>
      <c r="G42" s="535">
        <f t="shared" si="2"/>
        <v>0</v>
      </c>
      <c r="H42" s="542">
        <f t="shared" si="2"/>
        <v>50</v>
      </c>
      <c r="I42" s="542"/>
      <c r="J42" s="542">
        <v>677</v>
      </c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customHeight="1" x14ac:dyDescent="0.25">
      <c r="A43" s="530" t="s">
        <v>109</v>
      </c>
      <c r="B43" s="530" t="s">
        <v>115</v>
      </c>
      <c r="C43" s="531">
        <v>1</v>
      </c>
      <c r="D43" s="542">
        <v>1643</v>
      </c>
      <c r="E43" s="535">
        <v>1</v>
      </c>
      <c r="F43" s="542">
        <v>1693</v>
      </c>
      <c r="G43" s="535">
        <f t="shared" si="2"/>
        <v>0</v>
      </c>
      <c r="H43" s="542">
        <f t="shared" si="2"/>
        <v>50</v>
      </c>
      <c r="I43" s="542"/>
      <c r="J43" s="542">
        <v>677</v>
      </c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customHeight="1" x14ac:dyDescent="0.25">
      <c r="A44" s="530" t="s">
        <v>1013</v>
      </c>
      <c r="B44" s="530" t="s">
        <v>115</v>
      </c>
      <c r="C44" s="531">
        <v>4</v>
      </c>
      <c r="D44" s="542">
        <v>8580</v>
      </c>
      <c r="E44" s="535">
        <v>4</v>
      </c>
      <c r="F44" s="542">
        <f>6572+2200</f>
        <v>8772</v>
      </c>
      <c r="G44" s="535">
        <f t="shared" si="2"/>
        <v>0</v>
      </c>
      <c r="H44" s="542">
        <f t="shared" si="2"/>
        <v>192</v>
      </c>
      <c r="I44" s="542"/>
      <c r="J44" s="542">
        <v>2629</v>
      </c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customHeight="1" x14ac:dyDescent="0.25">
      <c r="A45" s="530" t="s">
        <v>1504</v>
      </c>
      <c r="B45" s="530" t="s">
        <v>1620</v>
      </c>
      <c r="C45" s="530">
        <v>3</v>
      </c>
      <c r="D45" s="542">
        <v>4785</v>
      </c>
      <c r="E45" s="535">
        <v>3</v>
      </c>
      <c r="F45" s="542">
        <v>4929</v>
      </c>
      <c r="G45" s="535">
        <f t="shared" si="2"/>
        <v>0</v>
      </c>
      <c r="H45" s="542">
        <f t="shared" si="2"/>
        <v>144</v>
      </c>
      <c r="I45" s="542"/>
      <c r="J45" s="542">
        <v>1972</v>
      </c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customHeight="1" x14ac:dyDescent="0.25">
      <c r="A46" s="530" t="s">
        <v>286</v>
      </c>
      <c r="B46" s="530" t="s">
        <v>115</v>
      </c>
      <c r="C46" s="531">
        <v>10</v>
      </c>
      <c r="D46" s="542">
        <v>14722.400000000001</v>
      </c>
      <c r="E46" s="535">
        <v>10</v>
      </c>
      <c r="F46" s="542">
        <v>13202</v>
      </c>
      <c r="G46" s="535">
        <f t="shared" si="2"/>
        <v>0</v>
      </c>
      <c r="H46" s="542">
        <f t="shared" si="2"/>
        <v>-1520.4000000000015</v>
      </c>
      <c r="I46" s="542"/>
      <c r="J46" s="542">
        <v>4000</v>
      </c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customHeight="1" x14ac:dyDescent="0.25">
      <c r="A47" s="530" t="s">
        <v>161</v>
      </c>
      <c r="B47" s="530" t="s">
        <v>1620</v>
      </c>
      <c r="C47" s="531">
        <v>9</v>
      </c>
      <c r="D47" s="542">
        <v>12818</v>
      </c>
      <c r="E47" s="535">
        <v>10</v>
      </c>
      <c r="F47" s="542">
        <v>13305</v>
      </c>
      <c r="G47" s="535">
        <f t="shared" si="2"/>
        <v>1</v>
      </c>
      <c r="H47" s="542">
        <f t="shared" si="2"/>
        <v>487</v>
      </c>
      <c r="I47" s="542"/>
      <c r="J47" s="542">
        <v>4000</v>
      </c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customHeight="1" x14ac:dyDescent="0.25">
      <c r="A48" s="530" t="s">
        <v>182</v>
      </c>
      <c r="B48" s="530" t="s">
        <v>115</v>
      </c>
      <c r="C48" s="531">
        <v>8</v>
      </c>
      <c r="D48" s="542">
        <v>13144</v>
      </c>
      <c r="E48" s="535">
        <v>9</v>
      </c>
      <c r="F48" s="542">
        <v>13544</v>
      </c>
      <c r="G48" s="535">
        <f t="shared" si="2"/>
        <v>1</v>
      </c>
      <c r="H48" s="542">
        <f t="shared" si="2"/>
        <v>400</v>
      </c>
      <c r="I48" s="542"/>
      <c r="J48" s="542">
        <v>5418</v>
      </c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customHeight="1" x14ac:dyDescent="0.25">
      <c r="A49" s="537" t="s">
        <v>1163</v>
      </c>
      <c r="B49" s="530" t="s">
        <v>1620</v>
      </c>
      <c r="C49" s="531">
        <v>6</v>
      </c>
      <c r="D49" s="542">
        <v>9858</v>
      </c>
      <c r="E49" s="535">
        <v>6</v>
      </c>
      <c r="F49" s="542">
        <v>10158</v>
      </c>
      <c r="G49" s="535">
        <f t="shared" si="2"/>
        <v>0</v>
      </c>
      <c r="H49" s="542">
        <f t="shared" si="2"/>
        <v>300</v>
      </c>
      <c r="I49" s="542"/>
      <c r="J49" s="542">
        <v>4063</v>
      </c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customHeight="1" x14ac:dyDescent="0.25">
      <c r="A50" s="531" t="s">
        <v>298</v>
      </c>
      <c r="B50" s="530" t="s">
        <v>115</v>
      </c>
      <c r="C50" s="531">
        <v>5</v>
      </c>
      <c r="D50" s="542">
        <v>8645</v>
      </c>
      <c r="E50" s="535">
        <v>5</v>
      </c>
      <c r="F50" s="542">
        <v>8465</v>
      </c>
      <c r="G50" s="535">
        <f t="shared" si="2"/>
        <v>0</v>
      </c>
      <c r="H50" s="542">
        <f t="shared" si="2"/>
        <v>-180</v>
      </c>
      <c r="I50" s="542"/>
      <c r="J50" s="542">
        <v>3386</v>
      </c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customHeight="1" x14ac:dyDescent="0.25">
      <c r="A51" s="530" t="s">
        <v>1348</v>
      </c>
      <c r="B51" s="530" t="s">
        <v>1620</v>
      </c>
      <c r="C51" s="530">
        <v>60</v>
      </c>
      <c r="D51" s="542">
        <v>44950</v>
      </c>
      <c r="E51" s="530">
        <v>60</v>
      </c>
      <c r="F51" s="542">
        <v>44950</v>
      </c>
      <c r="G51" s="535">
        <f t="shared" si="2"/>
        <v>0</v>
      </c>
      <c r="H51" s="542">
        <f t="shared" si="2"/>
        <v>0</v>
      </c>
      <c r="I51" s="542"/>
      <c r="J51" s="542">
        <f>F51*0.4</f>
        <v>17980</v>
      </c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customHeight="1" x14ac:dyDescent="0.25">
      <c r="A52" s="530" t="s">
        <v>1369</v>
      </c>
      <c r="B52" s="530" t="s">
        <v>1620</v>
      </c>
      <c r="C52" s="530">
        <v>4</v>
      </c>
      <c r="D52" s="542">
        <v>3100</v>
      </c>
      <c r="E52" s="530">
        <v>4</v>
      </c>
      <c r="F52" s="542">
        <v>3100</v>
      </c>
      <c r="G52" s="535">
        <f t="shared" si="2"/>
        <v>0</v>
      </c>
      <c r="H52" s="542">
        <f t="shared" si="2"/>
        <v>0</v>
      </c>
      <c r="I52" s="542"/>
      <c r="J52" s="542">
        <f t="shared" ref="J52:J61" si="3">F52*0.4</f>
        <v>1240</v>
      </c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customHeight="1" x14ac:dyDescent="0.25">
      <c r="A53" s="530" t="s">
        <v>1368</v>
      </c>
      <c r="B53" s="530" t="s">
        <v>1620</v>
      </c>
      <c r="C53" s="530">
        <v>6</v>
      </c>
      <c r="D53" s="542">
        <v>4650</v>
      </c>
      <c r="E53" s="530">
        <v>6</v>
      </c>
      <c r="F53" s="542">
        <v>4650</v>
      </c>
      <c r="G53" s="535">
        <f t="shared" si="2"/>
        <v>0</v>
      </c>
      <c r="H53" s="542">
        <f t="shared" si="2"/>
        <v>0</v>
      </c>
      <c r="I53" s="542"/>
      <c r="J53" s="542">
        <f t="shared" si="3"/>
        <v>1860</v>
      </c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customHeight="1" x14ac:dyDescent="0.25">
      <c r="A54" s="530" t="s">
        <v>1407</v>
      </c>
      <c r="B54" s="530" t="s">
        <v>1620</v>
      </c>
      <c r="C54" s="530">
        <v>4</v>
      </c>
      <c r="D54" s="542">
        <v>3100</v>
      </c>
      <c r="E54" s="530">
        <v>4</v>
      </c>
      <c r="F54" s="542">
        <v>3100</v>
      </c>
      <c r="G54" s="535">
        <f t="shared" si="2"/>
        <v>0</v>
      </c>
      <c r="H54" s="542">
        <f t="shared" si="2"/>
        <v>0</v>
      </c>
      <c r="I54" s="542"/>
      <c r="J54" s="542">
        <f t="shared" si="3"/>
        <v>1240</v>
      </c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customHeight="1" x14ac:dyDescent="0.25">
      <c r="A55" s="530" t="s">
        <v>1406</v>
      </c>
      <c r="B55" s="530" t="s">
        <v>1620</v>
      </c>
      <c r="C55" s="530">
        <v>4</v>
      </c>
      <c r="D55" s="542">
        <v>3100</v>
      </c>
      <c r="E55" s="530">
        <v>4</v>
      </c>
      <c r="F55" s="542">
        <v>3100</v>
      </c>
      <c r="G55" s="535">
        <f t="shared" si="2"/>
        <v>0</v>
      </c>
      <c r="H55" s="542">
        <f t="shared" si="2"/>
        <v>0</v>
      </c>
      <c r="I55" s="542"/>
      <c r="J55" s="542">
        <f t="shared" si="3"/>
        <v>1240</v>
      </c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customHeight="1" x14ac:dyDescent="0.25">
      <c r="A56" s="530" t="s">
        <v>1367</v>
      </c>
      <c r="B56" s="530" t="s">
        <v>1620</v>
      </c>
      <c r="C56" s="530">
        <v>4</v>
      </c>
      <c r="D56" s="542">
        <v>4650</v>
      </c>
      <c r="E56" s="530">
        <v>4</v>
      </c>
      <c r="F56" s="542">
        <v>4650</v>
      </c>
      <c r="G56" s="535">
        <f t="shared" si="2"/>
        <v>0</v>
      </c>
      <c r="H56" s="542">
        <f t="shared" si="2"/>
        <v>0</v>
      </c>
      <c r="I56" s="542"/>
      <c r="J56" s="542">
        <f t="shared" si="3"/>
        <v>1860</v>
      </c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customHeight="1" x14ac:dyDescent="0.25">
      <c r="A57" s="530" t="s">
        <v>1408</v>
      </c>
      <c r="B57" s="530" t="s">
        <v>1620</v>
      </c>
      <c r="C57" s="530">
        <v>4</v>
      </c>
      <c r="D57" s="542">
        <v>3100</v>
      </c>
      <c r="E57" s="530">
        <v>4</v>
      </c>
      <c r="F57" s="542">
        <v>3100</v>
      </c>
      <c r="G57" s="535">
        <f t="shared" si="2"/>
        <v>0</v>
      </c>
      <c r="H57" s="542">
        <f t="shared" si="2"/>
        <v>0</v>
      </c>
      <c r="I57" s="542"/>
      <c r="J57" s="542">
        <f t="shared" si="3"/>
        <v>1240</v>
      </c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customHeight="1" x14ac:dyDescent="0.25">
      <c r="A58" s="530" t="s">
        <v>1350</v>
      </c>
      <c r="B58" s="530" t="s">
        <v>1620</v>
      </c>
      <c r="C58" s="531">
        <v>7</v>
      </c>
      <c r="D58" s="542">
        <v>5425</v>
      </c>
      <c r="E58" s="531">
        <v>7</v>
      </c>
      <c r="F58" s="542">
        <v>5425</v>
      </c>
      <c r="G58" s="535">
        <f t="shared" si="2"/>
        <v>0</v>
      </c>
      <c r="H58" s="542">
        <f t="shared" si="2"/>
        <v>0</v>
      </c>
      <c r="I58" s="542"/>
      <c r="J58" s="542">
        <f t="shared" si="3"/>
        <v>2170</v>
      </c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customHeight="1" x14ac:dyDescent="0.25">
      <c r="A59" s="530" t="s">
        <v>1351</v>
      </c>
      <c r="B59" s="530" t="s">
        <v>115</v>
      </c>
      <c r="C59" s="531">
        <v>3</v>
      </c>
      <c r="D59" s="542">
        <v>4525</v>
      </c>
      <c r="E59" s="531">
        <v>3</v>
      </c>
      <c r="F59" s="542">
        <v>4525</v>
      </c>
      <c r="G59" s="535">
        <f t="shared" si="2"/>
        <v>0</v>
      </c>
      <c r="H59" s="542">
        <f t="shared" si="2"/>
        <v>0</v>
      </c>
      <c r="I59" s="542"/>
      <c r="J59" s="542">
        <f>2325*0.4</f>
        <v>930</v>
      </c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customHeight="1" x14ac:dyDescent="0.25">
      <c r="A60" s="530" t="s">
        <v>1352</v>
      </c>
      <c r="B60" s="530" t="s">
        <v>115</v>
      </c>
      <c r="C60" s="531">
        <v>4</v>
      </c>
      <c r="D60" s="542">
        <v>3100</v>
      </c>
      <c r="E60" s="531">
        <v>4</v>
      </c>
      <c r="F60" s="542">
        <v>3100</v>
      </c>
      <c r="G60" s="535">
        <f t="shared" si="2"/>
        <v>0</v>
      </c>
      <c r="H60" s="542">
        <f t="shared" si="2"/>
        <v>0</v>
      </c>
      <c r="I60" s="542"/>
      <c r="J60" s="542">
        <f t="shared" si="3"/>
        <v>1240</v>
      </c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customHeight="1" x14ac:dyDescent="0.25">
      <c r="A61" s="530" t="s">
        <v>213</v>
      </c>
      <c r="B61" s="530" t="s">
        <v>1620</v>
      </c>
      <c r="C61" s="531">
        <v>8</v>
      </c>
      <c r="D61" s="542">
        <v>9211.7000000000007</v>
      </c>
      <c r="E61" s="535">
        <v>8</v>
      </c>
      <c r="F61" s="542">
        <v>9074</v>
      </c>
      <c r="G61" s="535">
        <f t="shared" si="2"/>
        <v>0</v>
      </c>
      <c r="H61" s="542">
        <f t="shared" si="2"/>
        <v>-137.70000000000073</v>
      </c>
      <c r="I61" s="542"/>
      <c r="J61" s="542">
        <f t="shared" si="3"/>
        <v>3629.6000000000004</v>
      </c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customHeight="1" x14ac:dyDescent="0.25">
      <c r="A62" s="530" t="s">
        <v>5</v>
      </c>
      <c r="B62" s="530" t="s">
        <v>115</v>
      </c>
      <c r="C62" s="531">
        <v>11</v>
      </c>
      <c r="D62" s="542">
        <v>11747.550000000001</v>
      </c>
      <c r="E62" s="535">
        <v>11</v>
      </c>
      <c r="F62" s="542">
        <v>12105</v>
      </c>
      <c r="G62" s="535">
        <f t="shared" si="2"/>
        <v>0</v>
      </c>
      <c r="H62" s="542">
        <f t="shared" si="2"/>
        <v>357.44999999999891</v>
      </c>
      <c r="I62" s="542"/>
      <c r="J62" s="542">
        <v>4841</v>
      </c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customHeight="1" x14ac:dyDescent="0.25">
      <c r="A63" s="530" t="s">
        <v>3</v>
      </c>
      <c r="B63" s="530" t="s">
        <v>115</v>
      </c>
      <c r="C63" s="531">
        <v>5</v>
      </c>
      <c r="D63" s="542">
        <v>5339.75</v>
      </c>
      <c r="E63" s="535">
        <v>5</v>
      </c>
      <c r="F63" s="542">
        <v>5502</v>
      </c>
      <c r="G63" s="535">
        <f t="shared" si="2"/>
        <v>0</v>
      </c>
      <c r="H63" s="542">
        <f t="shared" si="2"/>
        <v>162.25</v>
      </c>
      <c r="I63" s="542"/>
      <c r="J63" s="542">
        <v>2200</v>
      </c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customHeight="1" x14ac:dyDescent="0.25">
      <c r="A64" s="530" t="s">
        <v>339</v>
      </c>
      <c r="B64" s="530" t="s">
        <v>115</v>
      </c>
      <c r="C64" s="531">
        <v>11</v>
      </c>
      <c r="D64" s="542">
        <v>11747.450000000003</v>
      </c>
      <c r="E64" s="535">
        <v>11</v>
      </c>
      <c r="F64" s="542">
        <v>12105</v>
      </c>
      <c r="G64" s="535">
        <f t="shared" si="2"/>
        <v>0</v>
      </c>
      <c r="H64" s="542">
        <f t="shared" si="2"/>
        <v>357.54999999999745</v>
      </c>
      <c r="I64" s="542"/>
      <c r="J64" s="542">
        <v>4841</v>
      </c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customHeight="1" x14ac:dyDescent="0.25">
      <c r="A65" s="530" t="s">
        <v>1365</v>
      </c>
      <c r="B65" s="530" t="s">
        <v>115</v>
      </c>
      <c r="C65" s="531">
        <v>6</v>
      </c>
      <c r="D65" s="542">
        <v>6407.7</v>
      </c>
      <c r="E65" s="535">
        <v>6</v>
      </c>
      <c r="F65" s="542">
        <v>6603</v>
      </c>
      <c r="G65" s="535">
        <f t="shared" si="2"/>
        <v>0</v>
      </c>
      <c r="H65" s="542">
        <f t="shared" si="2"/>
        <v>195.30000000000018</v>
      </c>
      <c r="I65" s="542"/>
      <c r="J65" s="542">
        <v>2640</v>
      </c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customHeight="1" x14ac:dyDescent="0.25">
      <c r="A66" s="530" t="s">
        <v>6</v>
      </c>
      <c r="B66" s="530" t="s">
        <v>115</v>
      </c>
      <c r="C66" s="531">
        <v>7</v>
      </c>
      <c r="D66" s="542">
        <v>7475.65</v>
      </c>
      <c r="E66" s="535">
        <v>8</v>
      </c>
      <c r="F66" s="542">
        <v>8804</v>
      </c>
      <c r="G66" s="535">
        <f t="shared" si="2"/>
        <v>1</v>
      </c>
      <c r="H66" s="542">
        <f t="shared" si="2"/>
        <v>1328.3500000000004</v>
      </c>
      <c r="I66" s="542"/>
      <c r="J66" s="542">
        <v>3520</v>
      </c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customHeight="1" x14ac:dyDescent="0.25">
      <c r="A67" s="530" t="s">
        <v>63</v>
      </c>
      <c r="B67" s="530" t="s">
        <v>115</v>
      </c>
      <c r="C67" s="531">
        <v>9</v>
      </c>
      <c r="D67" s="542">
        <v>9611.5500000000011</v>
      </c>
      <c r="E67" s="535">
        <v>9</v>
      </c>
      <c r="F67" s="542">
        <v>9904</v>
      </c>
      <c r="G67" s="535">
        <f t="shared" si="2"/>
        <v>0</v>
      </c>
      <c r="H67" s="542">
        <f t="shared" si="2"/>
        <v>292.44999999999891</v>
      </c>
      <c r="I67" s="542"/>
      <c r="J67" s="542">
        <v>3960</v>
      </c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customHeight="1" x14ac:dyDescent="0.25">
      <c r="A68" s="530" t="s">
        <v>220</v>
      </c>
      <c r="B68" s="530" t="s">
        <v>115</v>
      </c>
      <c r="C68" s="531">
        <v>7</v>
      </c>
      <c r="D68" s="542">
        <v>7475.65</v>
      </c>
      <c r="E68" s="535">
        <v>7</v>
      </c>
      <c r="F68" s="542">
        <v>7703</v>
      </c>
      <c r="G68" s="535">
        <f t="shared" si="2"/>
        <v>0</v>
      </c>
      <c r="H68" s="542">
        <f t="shared" si="2"/>
        <v>227.35000000000036</v>
      </c>
      <c r="I68" s="542"/>
      <c r="J68" s="542">
        <v>3080</v>
      </c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1"/>
        <v>0</v>
      </c>
    </row>
    <row r="69" spans="1:26" ht="15" customHeight="1" x14ac:dyDescent="0.25">
      <c r="A69" s="530" t="s">
        <v>4</v>
      </c>
      <c r="B69" s="530" t="s">
        <v>115</v>
      </c>
      <c r="C69" s="531">
        <v>11</v>
      </c>
      <c r="D69" s="542">
        <v>11747.450000000003</v>
      </c>
      <c r="E69" s="535">
        <v>11</v>
      </c>
      <c r="F69" s="542">
        <v>12105</v>
      </c>
      <c r="G69" s="535">
        <f t="shared" ref="G69:H83" si="4">E69-C69</f>
        <v>0</v>
      </c>
      <c r="H69" s="542">
        <f t="shared" si="4"/>
        <v>357.54999999999745</v>
      </c>
      <c r="I69" s="542"/>
      <c r="J69" s="542">
        <v>4841</v>
      </c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5">SUM(K69:Y69)</f>
        <v>0</v>
      </c>
    </row>
    <row r="70" spans="1:26" ht="15" customHeight="1" x14ac:dyDescent="0.25">
      <c r="A70" s="530" t="s">
        <v>340</v>
      </c>
      <c r="B70" s="530" t="s">
        <v>115</v>
      </c>
      <c r="C70" s="531">
        <v>7</v>
      </c>
      <c r="D70" s="542">
        <v>7475.65</v>
      </c>
      <c r="E70" s="535">
        <v>7</v>
      </c>
      <c r="F70" s="542">
        <v>7703</v>
      </c>
      <c r="G70" s="535">
        <f t="shared" si="4"/>
        <v>0</v>
      </c>
      <c r="H70" s="542">
        <f t="shared" si="4"/>
        <v>227.35000000000036</v>
      </c>
      <c r="I70" s="542"/>
      <c r="J70" s="542">
        <v>3080</v>
      </c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5"/>
        <v>0</v>
      </c>
    </row>
    <row r="71" spans="1:26" ht="15" customHeight="1" x14ac:dyDescent="0.25">
      <c r="A71" s="530" t="s">
        <v>242</v>
      </c>
      <c r="B71" s="530" t="s">
        <v>115</v>
      </c>
      <c r="C71" s="531">
        <v>10</v>
      </c>
      <c r="D71" s="542">
        <v>14876.5</v>
      </c>
      <c r="E71" s="535">
        <v>10</v>
      </c>
      <c r="F71" s="542">
        <v>15224</v>
      </c>
      <c r="G71" s="535">
        <f t="shared" si="4"/>
        <v>0</v>
      </c>
      <c r="H71" s="542">
        <f t="shared" si="4"/>
        <v>347.5</v>
      </c>
      <c r="I71" s="542"/>
      <c r="J71" s="542">
        <v>4000</v>
      </c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5"/>
        <v>0</v>
      </c>
    </row>
    <row r="72" spans="1:26" ht="15" customHeight="1" x14ac:dyDescent="0.25">
      <c r="A72" s="530" t="s">
        <v>261</v>
      </c>
      <c r="B72" s="530" t="s">
        <v>115</v>
      </c>
      <c r="C72" s="531">
        <v>7</v>
      </c>
      <c r="D72" s="542">
        <v>11501</v>
      </c>
      <c r="E72" s="535">
        <v>7</v>
      </c>
      <c r="F72" s="542">
        <v>11851</v>
      </c>
      <c r="G72" s="535">
        <f t="shared" si="4"/>
        <v>0</v>
      </c>
      <c r="H72" s="542">
        <f t="shared" si="4"/>
        <v>350</v>
      </c>
      <c r="I72" s="542"/>
      <c r="J72" s="542">
        <v>4740</v>
      </c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5"/>
        <v>0</v>
      </c>
    </row>
    <row r="73" spans="1:26" ht="15" customHeight="1" x14ac:dyDescent="0.25">
      <c r="A73" s="534" t="s">
        <v>219</v>
      </c>
      <c r="B73" s="530" t="s">
        <v>1620</v>
      </c>
      <c r="C73" s="531">
        <v>7</v>
      </c>
      <c r="D73" s="542">
        <v>12218.4</v>
      </c>
      <c r="E73" s="535">
        <v>8</v>
      </c>
      <c r="F73" s="542">
        <v>13544</v>
      </c>
      <c r="G73" s="535">
        <f t="shared" si="4"/>
        <v>1</v>
      </c>
      <c r="H73" s="542">
        <f t="shared" si="4"/>
        <v>1325.6000000000004</v>
      </c>
      <c r="I73" s="542"/>
      <c r="J73" s="542">
        <v>4120</v>
      </c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5"/>
        <v>0</v>
      </c>
    </row>
    <row r="74" spans="1:26" ht="15" customHeight="1" x14ac:dyDescent="0.25">
      <c r="A74" s="530" t="s">
        <v>173</v>
      </c>
      <c r="B74" s="530" t="s">
        <v>115</v>
      </c>
      <c r="C74" s="531">
        <v>5</v>
      </c>
      <c r="D74" s="542">
        <v>8215</v>
      </c>
      <c r="E74" s="535">
        <v>5</v>
      </c>
      <c r="F74" s="542">
        <v>8465</v>
      </c>
      <c r="G74" s="535">
        <f t="shared" si="4"/>
        <v>0</v>
      </c>
      <c r="H74" s="542">
        <f t="shared" si="4"/>
        <v>250</v>
      </c>
      <c r="I74" s="542"/>
      <c r="J74" s="542">
        <v>3386</v>
      </c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5"/>
        <v>0</v>
      </c>
    </row>
    <row r="75" spans="1:26" ht="15" customHeight="1" x14ac:dyDescent="0.25">
      <c r="A75" s="534" t="s">
        <v>297</v>
      </c>
      <c r="B75" s="530" t="s">
        <v>115</v>
      </c>
      <c r="C75" s="531">
        <v>9</v>
      </c>
      <c r="D75" s="542">
        <v>16987</v>
      </c>
      <c r="E75" s="535">
        <v>10</v>
      </c>
      <c r="F75" s="542">
        <v>17437</v>
      </c>
      <c r="G75" s="535">
        <f t="shared" si="4"/>
        <v>1</v>
      </c>
      <c r="H75" s="542">
        <f t="shared" si="4"/>
        <v>450</v>
      </c>
      <c r="I75" s="542"/>
      <c r="J75" s="542">
        <v>6095</v>
      </c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5"/>
        <v>0</v>
      </c>
    </row>
    <row r="76" spans="1:26" ht="15" customHeight="1" x14ac:dyDescent="0.25">
      <c r="A76" s="530" t="s">
        <v>181</v>
      </c>
      <c r="B76" s="530" t="s">
        <v>115</v>
      </c>
      <c r="C76" s="531">
        <v>10</v>
      </c>
      <c r="D76" s="542">
        <v>21080</v>
      </c>
      <c r="E76" s="535">
        <v>13</v>
      </c>
      <c r="F76" s="542">
        <v>21580</v>
      </c>
      <c r="G76" s="535">
        <f t="shared" si="4"/>
        <v>3</v>
      </c>
      <c r="H76" s="542">
        <f t="shared" si="4"/>
        <v>500</v>
      </c>
      <c r="I76" s="542"/>
      <c r="J76" s="542">
        <v>6772</v>
      </c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5"/>
        <v>0</v>
      </c>
    </row>
    <row r="77" spans="1:26" ht="15" customHeight="1" x14ac:dyDescent="0.25">
      <c r="A77" s="533" t="s">
        <v>217</v>
      </c>
      <c r="B77" s="530" t="s">
        <v>115</v>
      </c>
      <c r="C77" s="531">
        <v>1</v>
      </c>
      <c r="D77" s="542">
        <v>1643</v>
      </c>
      <c r="E77" s="535">
        <v>1</v>
      </c>
      <c r="F77" s="542">
        <v>1693</v>
      </c>
      <c r="G77" s="535">
        <f t="shared" si="4"/>
        <v>0</v>
      </c>
      <c r="H77" s="542">
        <f t="shared" si="4"/>
        <v>50</v>
      </c>
      <c r="I77" s="542"/>
      <c r="J77" s="542">
        <v>677</v>
      </c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5"/>
        <v>0</v>
      </c>
    </row>
    <row r="78" spans="1:26" ht="15" customHeight="1" x14ac:dyDescent="0.25">
      <c r="A78" s="530" t="s">
        <v>17</v>
      </c>
      <c r="B78" s="530" t="s">
        <v>115</v>
      </c>
      <c r="C78" s="531">
        <v>7</v>
      </c>
      <c r="D78" s="542">
        <v>11501</v>
      </c>
      <c r="E78" s="535">
        <v>8</v>
      </c>
      <c r="F78" s="542">
        <v>11851</v>
      </c>
      <c r="G78" s="535">
        <f t="shared" si="4"/>
        <v>1</v>
      </c>
      <c r="H78" s="542">
        <f t="shared" si="4"/>
        <v>350</v>
      </c>
      <c r="I78" s="542"/>
      <c r="J78" s="542">
        <v>4740</v>
      </c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5"/>
        <v>0</v>
      </c>
    </row>
    <row r="79" spans="1:26" ht="15" customHeight="1" x14ac:dyDescent="0.25">
      <c r="A79" s="530" t="s">
        <v>318</v>
      </c>
      <c r="B79" s="530" t="s">
        <v>115</v>
      </c>
      <c r="C79" s="531">
        <v>8</v>
      </c>
      <c r="D79" s="542">
        <v>15173.3</v>
      </c>
      <c r="E79" s="535">
        <v>9</v>
      </c>
      <c r="F79" s="542">
        <v>15094</v>
      </c>
      <c r="G79" s="535">
        <f t="shared" si="4"/>
        <v>1</v>
      </c>
      <c r="H79" s="542">
        <f t="shared" si="4"/>
        <v>-79.299999999999272</v>
      </c>
      <c r="I79" s="542"/>
      <c r="J79" s="542">
        <v>4120</v>
      </c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5"/>
        <v>0</v>
      </c>
    </row>
    <row r="80" spans="1:26" ht="15" customHeight="1" x14ac:dyDescent="0.25">
      <c r="A80" s="530" t="s">
        <v>303</v>
      </c>
      <c r="B80" s="530" t="s">
        <v>115</v>
      </c>
      <c r="C80" s="531">
        <v>11</v>
      </c>
      <c r="D80" s="542">
        <v>19448.5</v>
      </c>
      <c r="E80" s="535">
        <v>11</v>
      </c>
      <c r="F80" s="542">
        <v>19448.5</v>
      </c>
      <c r="G80" s="535">
        <f t="shared" si="4"/>
        <v>0</v>
      </c>
      <c r="H80" s="542">
        <f t="shared" si="4"/>
        <v>0</v>
      </c>
      <c r="I80" s="542"/>
      <c r="J80" s="542">
        <v>4000</v>
      </c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5"/>
        <v>0</v>
      </c>
    </row>
    <row r="81" spans="1:26" ht="15" customHeight="1" x14ac:dyDescent="0.25">
      <c r="A81" s="530" t="s">
        <v>1489</v>
      </c>
      <c r="B81" s="530" t="s">
        <v>1620</v>
      </c>
      <c r="C81" s="530">
        <v>2</v>
      </c>
      <c r="D81" s="542">
        <v>3286</v>
      </c>
      <c r="E81" s="535">
        <v>2</v>
      </c>
      <c r="F81" s="542">
        <f>1693*E81</f>
        <v>3386</v>
      </c>
      <c r="G81" s="535">
        <f t="shared" si="4"/>
        <v>0</v>
      </c>
      <c r="H81" s="542">
        <f t="shared" si="4"/>
        <v>100</v>
      </c>
      <c r="I81" s="542"/>
      <c r="J81" s="542">
        <f>F81*0.4</f>
        <v>1354.4</v>
      </c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5"/>
        <v>0</v>
      </c>
    </row>
    <row r="82" spans="1:26" ht="15" customHeight="1" x14ac:dyDescent="0.25">
      <c r="A82" s="530" t="s">
        <v>1510</v>
      </c>
      <c r="B82" s="530" t="s">
        <v>115</v>
      </c>
      <c r="C82" s="530">
        <v>2</v>
      </c>
      <c r="D82" s="542">
        <v>3190</v>
      </c>
      <c r="E82" s="535">
        <v>2</v>
      </c>
      <c r="F82" s="542">
        <v>3286</v>
      </c>
      <c r="G82" s="535">
        <f t="shared" si="4"/>
        <v>0</v>
      </c>
      <c r="H82" s="542">
        <f t="shared" si="4"/>
        <v>96</v>
      </c>
      <c r="I82" s="542"/>
      <c r="J82" s="542">
        <v>1314</v>
      </c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5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4"/>
        <v>0</v>
      </c>
      <c r="H83" s="542">
        <f t="shared" si="4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5"/>
        <v>0</v>
      </c>
    </row>
    <row r="84" spans="1:26" ht="15" customHeight="1" x14ac:dyDescent="0.25">
      <c r="A84" s="443" t="s">
        <v>1221</v>
      </c>
      <c r="B84" s="444"/>
      <c r="C84" s="447">
        <f t="shared" ref="C84:Z84" si="6">SUM(C5:C83)</f>
        <v>479</v>
      </c>
      <c r="D84" s="466">
        <f t="shared" si="6"/>
        <v>589600.45000000019</v>
      </c>
      <c r="E84" s="447">
        <f t="shared" si="6"/>
        <v>497</v>
      </c>
      <c r="F84" s="466">
        <f t="shared" si="6"/>
        <v>602104.5</v>
      </c>
      <c r="G84" s="447">
        <f t="shared" si="6"/>
        <v>18</v>
      </c>
      <c r="H84" s="466">
        <f>SUM(H5:H83)</f>
        <v>12504.049999999981</v>
      </c>
      <c r="I84" s="448">
        <f t="shared" si="6"/>
        <v>0</v>
      </c>
      <c r="J84" s="447">
        <f t="shared" si="6"/>
        <v>211828</v>
      </c>
      <c r="K84" s="448">
        <f t="shared" si="6"/>
        <v>0</v>
      </c>
      <c r="L84" s="447">
        <f t="shared" si="6"/>
        <v>0</v>
      </c>
      <c r="M84" s="447">
        <f t="shared" si="6"/>
        <v>0</v>
      </c>
      <c r="N84" s="447">
        <f t="shared" si="6"/>
        <v>0</v>
      </c>
      <c r="O84" s="447">
        <f t="shared" si="6"/>
        <v>0</v>
      </c>
      <c r="P84" s="447">
        <f t="shared" si="6"/>
        <v>0</v>
      </c>
      <c r="Q84" s="447">
        <f t="shared" si="6"/>
        <v>0</v>
      </c>
      <c r="R84" s="447">
        <f t="shared" si="6"/>
        <v>0</v>
      </c>
      <c r="S84" s="447">
        <f t="shared" si="6"/>
        <v>0</v>
      </c>
      <c r="T84" s="447">
        <f t="shared" si="6"/>
        <v>0</v>
      </c>
      <c r="U84" s="447">
        <f t="shared" si="6"/>
        <v>0</v>
      </c>
      <c r="V84" s="447">
        <f t="shared" si="6"/>
        <v>0</v>
      </c>
      <c r="W84" s="447">
        <f t="shared" si="6"/>
        <v>0</v>
      </c>
      <c r="X84" s="447">
        <f t="shared" si="6"/>
        <v>0</v>
      </c>
      <c r="Y84" s="447">
        <f t="shared" si="6"/>
        <v>0</v>
      </c>
      <c r="Z84" s="447">
        <f t="shared" si="6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ht="15" customHeight="1" x14ac:dyDescent="0.25">
      <c r="A88" s="566" t="s">
        <v>1679</v>
      </c>
      <c r="B88" s="496" t="s">
        <v>1620</v>
      </c>
      <c r="C88" s="497">
        <v>42726</v>
      </c>
      <c r="D88" s="498">
        <v>42732</v>
      </c>
      <c r="E88" s="499">
        <v>6</v>
      </c>
      <c r="F88" s="498">
        <v>42736</v>
      </c>
      <c r="G88" s="499">
        <v>3</v>
      </c>
      <c r="H88" s="554">
        <v>4929</v>
      </c>
      <c r="I88" s="554">
        <v>5000</v>
      </c>
      <c r="J88" s="554">
        <v>1972</v>
      </c>
      <c r="K88" s="496"/>
      <c r="L88" s="496"/>
      <c r="M88" s="496"/>
      <c r="N88" s="496">
        <v>1</v>
      </c>
      <c r="O88" s="496">
        <v>1</v>
      </c>
      <c r="P88" s="496">
        <v>1</v>
      </c>
      <c r="Q88" s="496"/>
      <c r="R88" s="496"/>
      <c r="S88" s="496"/>
      <c r="T88" s="496"/>
      <c r="U88" s="496"/>
      <c r="V88" s="496"/>
      <c r="W88" s="496"/>
      <c r="X88" s="496"/>
      <c r="Y88" s="496"/>
      <c r="Z88" s="496">
        <f t="shared" ref="Z88:Z94" si="7">SUM(K88:Y88)</f>
        <v>3</v>
      </c>
    </row>
    <row r="89" spans="1:26" ht="15" customHeight="1" x14ac:dyDescent="0.25">
      <c r="A89" s="565" t="s">
        <v>1687</v>
      </c>
      <c r="B89" s="535" t="s">
        <v>1620</v>
      </c>
      <c r="C89" s="487">
        <v>42744</v>
      </c>
      <c r="D89" s="488">
        <v>42752</v>
      </c>
      <c r="E89" s="486">
        <v>8</v>
      </c>
      <c r="F89" s="488">
        <v>42751</v>
      </c>
      <c r="G89" s="486">
        <v>1</v>
      </c>
      <c r="H89" s="539">
        <v>1643</v>
      </c>
      <c r="I89" s="539">
        <v>5000</v>
      </c>
      <c r="J89" s="539">
        <v>657</v>
      </c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>
        <v>1</v>
      </c>
      <c r="W89" s="535"/>
      <c r="X89" s="535"/>
      <c r="Y89" s="535"/>
      <c r="Z89" s="496">
        <f t="shared" si="7"/>
        <v>1</v>
      </c>
    </row>
    <row r="90" spans="1:26" ht="29.45" customHeight="1" x14ac:dyDescent="0.25">
      <c r="A90" s="565" t="s">
        <v>1689</v>
      </c>
      <c r="B90" s="535" t="s">
        <v>115</v>
      </c>
      <c r="C90" s="487">
        <v>42713</v>
      </c>
      <c r="D90" s="488">
        <v>42761</v>
      </c>
      <c r="E90" s="486">
        <v>47</v>
      </c>
      <c r="F90" s="488">
        <v>42732</v>
      </c>
      <c r="G90" s="486">
        <v>4</v>
      </c>
      <c r="H90" s="539">
        <v>6572</v>
      </c>
      <c r="I90" s="539">
        <v>5000</v>
      </c>
      <c r="J90" s="539">
        <v>2628</v>
      </c>
      <c r="K90" s="535">
        <v>1</v>
      </c>
      <c r="L90" s="535"/>
      <c r="M90" s="535"/>
      <c r="N90" s="535">
        <v>1</v>
      </c>
      <c r="O90" s="535"/>
      <c r="P90" s="535">
        <v>1</v>
      </c>
      <c r="Q90" s="535">
        <v>1</v>
      </c>
      <c r="R90" s="535"/>
      <c r="S90" s="535"/>
      <c r="T90" s="535"/>
      <c r="U90" s="535"/>
      <c r="V90" s="535"/>
      <c r="W90" s="535"/>
      <c r="X90" s="535"/>
      <c r="Y90" s="535"/>
      <c r="Z90" s="496">
        <f t="shared" si="7"/>
        <v>4</v>
      </c>
    </row>
    <row r="91" spans="1:26" ht="15" customHeight="1" x14ac:dyDescent="0.25">
      <c r="A91" s="538" t="s">
        <v>1691</v>
      </c>
      <c r="B91" s="535" t="s">
        <v>115</v>
      </c>
      <c r="C91" s="487">
        <v>42643</v>
      </c>
      <c r="D91" s="488">
        <v>42765</v>
      </c>
      <c r="E91" s="486">
        <v>120</v>
      </c>
      <c r="F91" s="488">
        <v>42766</v>
      </c>
      <c r="G91" s="486">
        <v>2</v>
      </c>
      <c r="H91" s="539">
        <f>3286+2200</f>
        <v>5486</v>
      </c>
      <c r="I91" s="539">
        <f>5000+2800</f>
        <v>7800</v>
      </c>
      <c r="J91" s="539">
        <v>1314</v>
      </c>
      <c r="K91" s="535">
        <v>1</v>
      </c>
      <c r="L91" s="535"/>
      <c r="M91" s="535"/>
      <c r="N91" s="535"/>
      <c r="O91" s="535"/>
      <c r="P91" s="535">
        <v>1</v>
      </c>
      <c r="Q91" s="535"/>
      <c r="R91" s="535"/>
      <c r="S91" s="535"/>
      <c r="T91" s="535"/>
      <c r="U91" s="535"/>
      <c r="V91" s="535"/>
      <c r="W91" s="535"/>
      <c r="X91" s="535"/>
      <c r="Y91" s="535"/>
      <c r="Z91" s="496">
        <f t="shared" si="7"/>
        <v>2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496">
        <f t="shared" si="7"/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456"/>
      <c r="J93" s="456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7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7"/>
        <v>0</v>
      </c>
    </row>
    <row r="95" spans="1:26" ht="15" customHeight="1" x14ac:dyDescent="0.25">
      <c r="A95" s="443" t="s">
        <v>1226</v>
      </c>
      <c r="B95" s="444"/>
      <c r="C95" s="445"/>
      <c r="D95" s="446"/>
      <c r="E95" s="447"/>
      <c r="F95" s="446"/>
      <c r="G95" s="447">
        <f>SUM(G93:G94)</f>
        <v>0</v>
      </c>
      <c r="H95" s="448">
        <f>SUM(H88:H94)</f>
        <v>18630</v>
      </c>
      <c r="I95" s="448">
        <f t="shared" ref="I95:Z95" si="8">SUM(I88:I94)</f>
        <v>22800</v>
      </c>
      <c r="J95" s="448">
        <f t="shared" si="8"/>
        <v>6571</v>
      </c>
      <c r="K95" s="447">
        <f t="shared" si="8"/>
        <v>2</v>
      </c>
      <c r="L95" s="447">
        <f t="shared" si="8"/>
        <v>0</v>
      </c>
      <c r="M95" s="447">
        <f t="shared" si="8"/>
        <v>0</v>
      </c>
      <c r="N95" s="447">
        <f t="shared" si="8"/>
        <v>2</v>
      </c>
      <c r="O95" s="447">
        <f t="shared" si="8"/>
        <v>1</v>
      </c>
      <c r="P95" s="447">
        <f t="shared" si="8"/>
        <v>3</v>
      </c>
      <c r="Q95" s="447">
        <f t="shared" si="8"/>
        <v>1</v>
      </c>
      <c r="R95" s="447">
        <f t="shared" si="8"/>
        <v>0</v>
      </c>
      <c r="S95" s="447">
        <f t="shared" si="8"/>
        <v>0</v>
      </c>
      <c r="T95" s="447">
        <f t="shared" si="8"/>
        <v>0</v>
      </c>
      <c r="U95" s="447">
        <f t="shared" si="8"/>
        <v>0</v>
      </c>
      <c r="V95" s="447">
        <f t="shared" si="8"/>
        <v>1</v>
      </c>
      <c r="W95" s="447">
        <f t="shared" si="8"/>
        <v>0</v>
      </c>
      <c r="X95" s="447">
        <f t="shared" si="8"/>
        <v>0</v>
      </c>
      <c r="Y95" s="447">
        <f t="shared" si="8"/>
        <v>0</v>
      </c>
      <c r="Z95" s="447">
        <f t="shared" si="8"/>
        <v>10</v>
      </c>
    </row>
    <row r="96" spans="1:26" ht="15" customHeight="1" x14ac:dyDescent="0.25">
      <c r="A96" s="428"/>
      <c r="B96" s="422"/>
      <c r="C96" s="422"/>
      <c r="D96" s="429"/>
      <c r="E96" s="422"/>
      <c r="F96" s="429"/>
      <c r="G96" s="433"/>
      <c r="H96" s="422"/>
      <c r="I96" s="422"/>
      <c r="J96" s="422"/>
    </row>
    <row r="97" spans="1:26" x14ac:dyDescent="0.25">
      <c r="A97" s="739" t="s">
        <v>1228</v>
      </c>
      <c r="B97" s="739"/>
      <c r="G97" s="420"/>
    </row>
    <row r="98" spans="1:26" ht="30" x14ac:dyDescent="0.25">
      <c r="A98" s="560" t="s">
        <v>1</v>
      </c>
      <c r="B98" s="560" t="s">
        <v>59</v>
      </c>
      <c r="C98" s="425" t="s">
        <v>1222</v>
      </c>
      <c r="D98" s="425" t="s">
        <v>1223</v>
      </c>
      <c r="E98" s="425" t="s">
        <v>392</v>
      </c>
      <c r="F98" s="426" t="s">
        <v>2</v>
      </c>
      <c r="G98" s="432" t="s">
        <v>1225</v>
      </c>
      <c r="H98" s="427" t="s">
        <v>1224</v>
      </c>
      <c r="I98" s="427" t="s">
        <v>1498</v>
      </c>
      <c r="J98" s="427" t="s">
        <v>94</v>
      </c>
      <c r="K98" s="424" t="s">
        <v>681</v>
      </c>
      <c r="L98" s="424" t="s">
        <v>1496</v>
      </c>
      <c r="M98" s="424" t="s">
        <v>1497</v>
      </c>
      <c r="N98" s="424" t="s">
        <v>682</v>
      </c>
      <c r="O98" s="424" t="s">
        <v>683</v>
      </c>
      <c r="P98" s="424" t="s">
        <v>87</v>
      </c>
      <c r="Q98" s="424" t="s">
        <v>684</v>
      </c>
      <c r="R98" s="424" t="s">
        <v>685</v>
      </c>
      <c r="S98" s="424" t="s">
        <v>690</v>
      </c>
      <c r="T98" s="424" t="s">
        <v>686</v>
      </c>
      <c r="U98" s="424" t="s">
        <v>687</v>
      </c>
      <c r="V98" s="424" t="s">
        <v>688</v>
      </c>
      <c r="W98" s="424" t="s">
        <v>689</v>
      </c>
      <c r="X98" s="424" t="s">
        <v>138</v>
      </c>
      <c r="Y98" s="424" t="s">
        <v>1385</v>
      </c>
      <c r="Z98" s="424" t="s">
        <v>1238</v>
      </c>
    </row>
    <row r="99" spans="1:26" ht="15" customHeight="1" x14ac:dyDescent="0.25">
      <c r="A99" s="565" t="s">
        <v>1489</v>
      </c>
      <c r="B99" s="535" t="s">
        <v>1620</v>
      </c>
      <c r="C99" s="487">
        <v>42663</v>
      </c>
      <c r="D99" s="488">
        <v>42669</v>
      </c>
      <c r="E99" s="486">
        <v>6</v>
      </c>
      <c r="F99" s="488">
        <v>42736</v>
      </c>
      <c r="G99" s="486">
        <v>1</v>
      </c>
      <c r="H99" s="539">
        <v>1643</v>
      </c>
      <c r="I99" s="456">
        <v>0</v>
      </c>
      <c r="J99" s="456">
        <v>657</v>
      </c>
      <c r="K99" s="535"/>
      <c r="L99" s="535"/>
      <c r="M99" s="535"/>
      <c r="N99" s="535"/>
      <c r="O99" s="535"/>
      <c r="P99" s="535"/>
      <c r="Q99" s="535">
        <v>1</v>
      </c>
      <c r="R99" s="535"/>
      <c r="S99" s="535"/>
      <c r="T99" s="535"/>
      <c r="U99" s="535"/>
      <c r="V99" s="535"/>
      <c r="W99" s="535"/>
      <c r="X99" s="535"/>
      <c r="Y99" s="535"/>
      <c r="Z99" s="535">
        <f>SUM(K99:Y99)</f>
        <v>1</v>
      </c>
    </row>
    <row r="100" spans="1:26" s="457" customFormat="1" ht="15" customHeight="1" x14ac:dyDescent="0.25">
      <c r="A100" s="565" t="s">
        <v>1652</v>
      </c>
      <c r="B100" s="452" t="s">
        <v>1620</v>
      </c>
      <c r="C100" s="453">
        <v>42509</v>
      </c>
      <c r="D100" s="454">
        <v>42692</v>
      </c>
      <c r="E100" s="455">
        <v>1</v>
      </c>
      <c r="F100" s="454">
        <v>42692</v>
      </c>
      <c r="G100" s="455">
        <v>1</v>
      </c>
      <c r="H100" s="456">
        <v>801</v>
      </c>
      <c r="I100" s="456">
        <v>0</v>
      </c>
      <c r="J100" s="456">
        <v>0</v>
      </c>
      <c r="K100" s="452"/>
      <c r="L100" s="452"/>
      <c r="M100" s="452"/>
      <c r="N100" s="452"/>
      <c r="O100" s="452"/>
      <c r="P100" s="452"/>
      <c r="Q100" s="452"/>
      <c r="R100" s="452">
        <v>1</v>
      </c>
      <c r="S100" s="452"/>
      <c r="T100" s="452"/>
      <c r="U100" s="452"/>
      <c r="V100" s="452"/>
      <c r="W100" s="452"/>
      <c r="X100" s="452"/>
      <c r="Y100" s="452"/>
      <c r="Z100" s="535">
        <f t="shared" ref="Z100:Z105" si="9">SUM(K100:Y100)</f>
        <v>1</v>
      </c>
    </row>
    <row r="101" spans="1:26" s="457" customFormat="1" ht="15" customHeight="1" x14ac:dyDescent="0.25">
      <c r="A101" s="565" t="s">
        <v>1660</v>
      </c>
      <c r="B101" s="452" t="s">
        <v>1620</v>
      </c>
      <c r="C101" s="453">
        <v>42688</v>
      </c>
      <c r="D101" s="454">
        <v>42706</v>
      </c>
      <c r="E101" s="455">
        <v>18</v>
      </c>
      <c r="F101" s="454">
        <v>42736</v>
      </c>
      <c r="G101" s="455">
        <v>1</v>
      </c>
      <c r="H101" s="456">
        <v>1479</v>
      </c>
      <c r="I101" s="456">
        <v>0</v>
      </c>
      <c r="J101" s="456">
        <v>591</v>
      </c>
      <c r="K101" s="452"/>
      <c r="L101" s="452"/>
      <c r="M101" s="452"/>
      <c r="N101" s="452">
        <v>1</v>
      </c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535">
        <f t="shared" si="9"/>
        <v>1</v>
      </c>
    </row>
    <row r="102" spans="1:26" s="457" customFormat="1" ht="15" customHeight="1" x14ac:dyDescent="0.25">
      <c r="A102" s="565" t="s">
        <v>1482</v>
      </c>
      <c r="B102" s="452" t="s">
        <v>1620</v>
      </c>
      <c r="C102" s="453">
        <v>42761</v>
      </c>
      <c r="D102" s="454">
        <v>42765</v>
      </c>
      <c r="E102" s="455">
        <v>4</v>
      </c>
      <c r="F102" s="454">
        <v>42736</v>
      </c>
      <c r="G102" s="455">
        <v>4</v>
      </c>
      <c r="H102" s="456">
        <v>6572</v>
      </c>
      <c r="I102" s="456">
        <v>0</v>
      </c>
      <c r="J102" s="456">
        <v>2628</v>
      </c>
      <c r="K102" s="452">
        <v>1</v>
      </c>
      <c r="L102" s="452">
        <v>1</v>
      </c>
      <c r="M102" s="452">
        <v>1</v>
      </c>
      <c r="N102" s="452"/>
      <c r="O102" s="452"/>
      <c r="P102" s="452"/>
      <c r="Q102" s="452"/>
      <c r="R102" s="452">
        <v>1</v>
      </c>
      <c r="S102" s="452"/>
      <c r="T102" s="452"/>
      <c r="U102" s="452"/>
      <c r="V102" s="452"/>
      <c r="W102" s="452"/>
      <c r="X102" s="452"/>
      <c r="Y102" s="452"/>
      <c r="Z102" s="535">
        <f t="shared" si="9"/>
        <v>4</v>
      </c>
    </row>
    <row r="103" spans="1:26" s="457" customFormat="1" ht="15" customHeight="1" x14ac:dyDescent="0.25">
      <c r="A103" s="538"/>
      <c r="B103" s="452"/>
      <c r="C103" s="453"/>
      <c r="D103" s="454"/>
      <c r="E103" s="455"/>
      <c r="F103" s="454"/>
      <c r="G103" s="455"/>
      <c r="H103" s="456"/>
      <c r="I103" s="456"/>
      <c r="J103" s="456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535">
        <f t="shared" si="9"/>
        <v>0</v>
      </c>
    </row>
    <row r="104" spans="1:26" s="457" customFormat="1" ht="15" customHeight="1" x14ac:dyDescent="0.25">
      <c r="A104" s="538"/>
      <c r="B104" s="452"/>
      <c r="C104" s="453"/>
      <c r="D104" s="454"/>
      <c r="E104" s="455"/>
      <c r="F104" s="454"/>
      <c r="G104" s="455"/>
      <c r="H104" s="456"/>
      <c r="I104" s="456"/>
      <c r="J104" s="456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535">
        <f t="shared" si="9"/>
        <v>0</v>
      </c>
    </row>
    <row r="105" spans="1:26" s="457" customFormat="1" ht="15" customHeight="1" x14ac:dyDescent="0.25">
      <c r="A105" s="541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9"/>
        <v>0</v>
      </c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/>
    </row>
    <row r="107" spans="1:26" ht="15" customHeight="1" x14ac:dyDescent="0.25">
      <c r="A107" s="443" t="s">
        <v>450</v>
      </c>
      <c r="B107" s="444"/>
      <c r="C107" s="445"/>
      <c r="D107" s="446"/>
      <c r="E107" s="447"/>
      <c r="F107" s="446"/>
      <c r="G107" s="447">
        <f t="shared" ref="G107:Z107" si="10">SUM(G99:G106)</f>
        <v>7</v>
      </c>
      <c r="H107" s="448">
        <f>SUM(H99:H106)</f>
        <v>10495</v>
      </c>
      <c r="I107" s="448">
        <f>SUM(I99:I106)</f>
        <v>0</v>
      </c>
      <c r="J107" s="448">
        <f>SUM(J99:J106)</f>
        <v>3876</v>
      </c>
      <c r="K107" s="447">
        <f t="shared" si="10"/>
        <v>1</v>
      </c>
      <c r="L107" s="447">
        <f t="shared" si="10"/>
        <v>1</v>
      </c>
      <c r="M107" s="447">
        <f t="shared" si="10"/>
        <v>1</v>
      </c>
      <c r="N107" s="447">
        <f t="shared" si="10"/>
        <v>1</v>
      </c>
      <c r="O107" s="447">
        <f t="shared" si="10"/>
        <v>0</v>
      </c>
      <c r="P107" s="447">
        <f t="shared" si="10"/>
        <v>0</v>
      </c>
      <c r="Q107" s="447">
        <f t="shared" si="10"/>
        <v>1</v>
      </c>
      <c r="R107" s="447">
        <f t="shared" si="10"/>
        <v>2</v>
      </c>
      <c r="S107" s="447">
        <f t="shared" si="10"/>
        <v>0</v>
      </c>
      <c r="T107" s="447">
        <f t="shared" si="10"/>
        <v>0</v>
      </c>
      <c r="U107" s="447">
        <f t="shared" si="10"/>
        <v>0</v>
      </c>
      <c r="V107" s="447">
        <f t="shared" si="10"/>
        <v>0</v>
      </c>
      <c r="W107" s="447">
        <f t="shared" si="10"/>
        <v>0</v>
      </c>
      <c r="X107" s="447"/>
      <c r="Y107" s="447"/>
      <c r="Z107" s="447">
        <f t="shared" si="10"/>
        <v>7</v>
      </c>
    </row>
    <row r="109" spans="1:26" x14ac:dyDescent="0.25">
      <c r="A109" s="739" t="s">
        <v>1229</v>
      </c>
      <c r="B109" s="739"/>
    </row>
    <row r="110" spans="1:26" ht="30" x14ac:dyDescent="0.25">
      <c r="A110" s="560" t="s">
        <v>1</v>
      </c>
      <c r="B110" s="560" t="s">
        <v>59</v>
      </c>
      <c r="C110" s="425"/>
      <c r="D110" s="425"/>
      <c r="E110" s="425"/>
      <c r="F110" s="426"/>
      <c r="G110" s="432" t="s">
        <v>1225</v>
      </c>
      <c r="H110" s="427" t="s">
        <v>1224</v>
      </c>
      <c r="I110" s="427" t="s">
        <v>1498</v>
      </c>
      <c r="J110" s="427" t="s">
        <v>94</v>
      </c>
      <c r="K110" s="424" t="s">
        <v>681</v>
      </c>
      <c r="L110" s="424" t="s">
        <v>1496</v>
      </c>
      <c r="M110" s="424" t="s">
        <v>1497</v>
      </c>
      <c r="N110" s="424" t="s">
        <v>682</v>
      </c>
      <c r="O110" s="424" t="s">
        <v>683</v>
      </c>
      <c r="P110" s="424" t="s">
        <v>87</v>
      </c>
      <c r="Q110" s="424" t="s">
        <v>684</v>
      </c>
      <c r="R110" s="424" t="s">
        <v>685</v>
      </c>
      <c r="S110" s="424" t="s">
        <v>690</v>
      </c>
      <c r="T110" s="424" t="s">
        <v>686</v>
      </c>
      <c r="U110" s="424" t="s">
        <v>687</v>
      </c>
      <c r="V110" s="424" t="s">
        <v>688</v>
      </c>
      <c r="W110" s="424" t="s">
        <v>689</v>
      </c>
      <c r="X110" s="424" t="s">
        <v>138</v>
      </c>
      <c r="Y110" s="424" t="s">
        <v>1385</v>
      </c>
      <c r="Z110" s="424" t="s">
        <v>1238</v>
      </c>
    </row>
    <row r="111" spans="1:26" s="457" customFormat="1" ht="15" customHeight="1" x14ac:dyDescent="0.25">
      <c r="A111" s="565" t="s">
        <v>118</v>
      </c>
      <c r="B111" s="452" t="s">
        <v>115</v>
      </c>
      <c r="C111" s="453">
        <v>42717</v>
      </c>
      <c r="D111" s="454">
        <v>42732</v>
      </c>
      <c r="E111" s="455">
        <v>15</v>
      </c>
      <c r="F111" s="454">
        <v>42736</v>
      </c>
      <c r="G111" s="455">
        <v>-1</v>
      </c>
      <c r="H111" s="456">
        <v>-1643</v>
      </c>
      <c r="I111" s="456">
        <v>0</v>
      </c>
      <c r="J111" s="456">
        <v>-657</v>
      </c>
      <c r="K111" s="452"/>
      <c r="L111" s="452"/>
      <c r="M111" s="452"/>
      <c r="N111" s="452"/>
      <c r="O111" s="452"/>
      <c r="P111" s="452">
        <v>-1</v>
      </c>
      <c r="Q111" s="452"/>
      <c r="R111" s="452"/>
      <c r="S111" s="452"/>
      <c r="T111" s="452"/>
      <c r="U111" s="452"/>
      <c r="V111" s="452"/>
      <c r="W111" s="452"/>
      <c r="X111" s="452"/>
      <c r="Y111" s="452"/>
      <c r="Z111" s="535">
        <f t="shared" ref="Z111:Z119" si="11">SUM(K111:Y111)</f>
        <v>-1</v>
      </c>
    </row>
    <row r="112" spans="1:26" ht="15" customHeight="1" x14ac:dyDescent="0.25">
      <c r="A112" s="565" t="s">
        <v>1133</v>
      </c>
      <c r="B112" s="535" t="s">
        <v>115</v>
      </c>
      <c r="C112" s="487">
        <v>42711</v>
      </c>
      <c r="D112" s="488">
        <v>42738</v>
      </c>
      <c r="E112" s="486">
        <v>26</v>
      </c>
      <c r="F112" s="488">
        <v>42738</v>
      </c>
      <c r="G112" s="486">
        <v>-5</v>
      </c>
      <c r="H112" s="539">
        <v>-8215</v>
      </c>
      <c r="I112" s="539">
        <v>0</v>
      </c>
      <c r="J112" s="539">
        <v>-3286</v>
      </c>
      <c r="K112" s="535">
        <v>-1</v>
      </c>
      <c r="L112" s="535">
        <v>-1</v>
      </c>
      <c r="M112" s="535">
        <v>-1</v>
      </c>
      <c r="N112" s="535">
        <v>-1</v>
      </c>
      <c r="O112" s="535"/>
      <c r="P112" s="535"/>
      <c r="Q112" s="535">
        <v>-1</v>
      </c>
      <c r="R112" s="535"/>
      <c r="S112" s="535"/>
      <c r="T112" s="535"/>
      <c r="U112" s="535"/>
      <c r="V112" s="535"/>
      <c r="W112" s="535"/>
      <c r="X112" s="535"/>
      <c r="Y112" s="535"/>
      <c r="Z112" s="535">
        <f t="shared" si="11"/>
        <v>-5</v>
      </c>
    </row>
    <row r="113" spans="1:26" ht="15" customHeight="1" x14ac:dyDescent="0.25">
      <c r="A113" s="565" t="s">
        <v>1685</v>
      </c>
      <c r="B113" s="535" t="s">
        <v>1620</v>
      </c>
      <c r="C113" s="487">
        <v>43004</v>
      </c>
      <c r="D113" s="488">
        <v>42741</v>
      </c>
      <c r="E113" s="486">
        <v>100</v>
      </c>
      <c r="F113" s="488">
        <v>42741</v>
      </c>
      <c r="G113" s="486">
        <v>-1</v>
      </c>
      <c r="H113" s="539">
        <v>-443</v>
      </c>
      <c r="I113" s="539" t="s">
        <v>561</v>
      </c>
      <c r="J113" s="539">
        <v>-177</v>
      </c>
      <c r="K113" s="535"/>
      <c r="L113" s="535"/>
      <c r="M113" s="535"/>
      <c r="N113" s="535"/>
      <c r="O113" s="535">
        <v>-1</v>
      </c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11"/>
        <v>-1</v>
      </c>
    </row>
    <row r="114" spans="1:26" s="457" customFormat="1" ht="15" customHeight="1" x14ac:dyDescent="0.25">
      <c r="A114" s="567" t="s">
        <v>1288</v>
      </c>
      <c r="B114" s="535" t="s">
        <v>1620</v>
      </c>
      <c r="C114" s="453">
        <v>42740</v>
      </c>
      <c r="D114" s="454">
        <v>42755</v>
      </c>
      <c r="E114" s="455">
        <v>15</v>
      </c>
      <c r="F114" s="454">
        <v>42723</v>
      </c>
      <c r="G114" s="455">
        <v>-1</v>
      </c>
      <c r="H114" s="542">
        <f>-2560*0.9</f>
        <v>-2304</v>
      </c>
      <c r="I114" s="456">
        <v>0</v>
      </c>
      <c r="J114" s="456">
        <v>0</v>
      </c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>
        <v>-1</v>
      </c>
      <c r="W114" s="452"/>
      <c r="X114" s="452"/>
      <c r="Y114" s="452"/>
      <c r="Z114" s="535">
        <f t="shared" ref="Z114:Z116" si="12">SUM(K114:Y114)</f>
        <v>-1</v>
      </c>
    </row>
    <row r="115" spans="1:26" ht="15" customHeight="1" x14ac:dyDescent="0.25">
      <c r="A115" s="567" t="s">
        <v>1287</v>
      </c>
      <c r="B115" s="535" t="s">
        <v>1620</v>
      </c>
      <c r="C115" s="487">
        <v>42740</v>
      </c>
      <c r="D115" s="488">
        <v>42755</v>
      </c>
      <c r="E115" s="486">
        <v>15</v>
      </c>
      <c r="F115" s="454">
        <v>42723</v>
      </c>
      <c r="G115" s="486">
        <v>-1</v>
      </c>
      <c r="H115" s="542">
        <f>-2560*0.9</f>
        <v>-2304</v>
      </c>
      <c r="I115" s="539">
        <v>0</v>
      </c>
      <c r="J115" s="539">
        <v>-516</v>
      </c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>
        <v>-1</v>
      </c>
      <c r="W115" s="535"/>
      <c r="X115" s="535"/>
      <c r="Y115" s="535"/>
      <c r="Z115" s="535">
        <f t="shared" si="12"/>
        <v>-1</v>
      </c>
    </row>
    <row r="116" spans="1:26" ht="15" customHeight="1" x14ac:dyDescent="0.25">
      <c r="A116" s="567" t="s">
        <v>1286</v>
      </c>
      <c r="B116" s="535" t="s">
        <v>1620</v>
      </c>
      <c r="C116" s="487">
        <v>42740</v>
      </c>
      <c r="D116" s="488">
        <v>42755</v>
      </c>
      <c r="E116" s="486">
        <v>15</v>
      </c>
      <c r="F116" s="454">
        <v>42723</v>
      </c>
      <c r="G116" s="486">
        <v>-1</v>
      </c>
      <c r="H116" s="542">
        <f>-2560*0.9</f>
        <v>-2304</v>
      </c>
      <c r="I116" s="539">
        <v>0</v>
      </c>
      <c r="J116" s="539">
        <v>0</v>
      </c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>
        <v>-1</v>
      </c>
      <c r="W116" s="535"/>
      <c r="X116" s="535"/>
      <c r="Y116" s="535"/>
      <c r="Z116" s="535">
        <f t="shared" si="12"/>
        <v>-1</v>
      </c>
    </row>
    <row r="117" spans="1:26" s="457" customFormat="1" ht="15" customHeight="1" x14ac:dyDescent="0.25">
      <c r="A117" s="538" t="s">
        <v>1692</v>
      </c>
      <c r="B117" s="452" t="s">
        <v>1620</v>
      </c>
      <c r="C117" s="453">
        <v>42761</v>
      </c>
      <c r="D117" s="454">
        <v>42767</v>
      </c>
      <c r="E117" s="455">
        <v>5</v>
      </c>
      <c r="F117" s="454">
        <v>42714</v>
      </c>
      <c r="G117" s="455">
        <v>-2</v>
      </c>
      <c r="H117" s="456">
        <v>-3286</v>
      </c>
      <c r="I117" s="456">
        <v>0</v>
      </c>
      <c r="J117" s="456">
        <v>-1314</v>
      </c>
      <c r="K117" s="452"/>
      <c r="L117" s="452"/>
      <c r="M117" s="452"/>
      <c r="N117" s="452">
        <v>-1</v>
      </c>
      <c r="O117" s="452"/>
      <c r="P117" s="452">
        <v>-1</v>
      </c>
      <c r="Q117" s="452"/>
      <c r="R117" s="452"/>
      <c r="S117" s="452"/>
      <c r="T117" s="452"/>
      <c r="U117" s="452"/>
      <c r="V117" s="452"/>
      <c r="W117" s="452"/>
      <c r="X117" s="452"/>
      <c r="Y117" s="452"/>
      <c r="Z117" s="535">
        <f t="shared" si="11"/>
        <v>-2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1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1"/>
        <v>0</v>
      </c>
    </row>
    <row r="120" spans="1:26" ht="15" customHeight="1" x14ac:dyDescent="0.25">
      <c r="A120" s="443" t="s">
        <v>1230</v>
      </c>
      <c r="B120" s="444"/>
      <c r="C120" s="445"/>
      <c r="D120" s="446"/>
      <c r="E120" s="447"/>
      <c r="F120" s="446"/>
      <c r="G120" s="447">
        <f>SUM(G111:G119)</f>
        <v>-12</v>
      </c>
      <c r="H120" s="448">
        <f>SUM(H111:H119)</f>
        <v>-20499</v>
      </c>
      <c r="I120" s="448">
        <f t="shared" ref="I120:J120" si="13">SUM(I111:I119)</f>
        <v>0</v>
      </c>
      <c r="J120" s="448">
        <f t="shared" si="13"/>
        <v>-5950</v>
      </c>
      <c r="K120" s="447">
        <f>SUM(K111:K119)</f>
        <v>-1</v>
      </c>
      <c r="L120" s="447">
        <f t="shared" ref="L120:Z120" si="14">SUM(L111:L119)</f>
        <v>-1</v>
      </c>
      <c r="M120" s="447">
        <f t="shared" si="14"/>
        <v>-1</v>
      </c>
      <c r="N120" s="447">
        <f t="shared" si="14"/>
        <v>-2</v>
      </c>
      <c r="O120" s="447">
        <f t="shared" si="14"/>
        <v>-1</v>
      </c>
      <c r="P120" s="447">
        <f t="shared" si="14"/>
        <v>-2</v>
      </c>
      <c r="Q120" s="447">
        <f t="shared" si="14"/>
        <v>-1</v>
      </c>
      <c r="R120" s="447">
        <f t="shared" si="14"/>
        <v>0</v>
      </c>
      <c r="S120" s="447">
        <f t="shared" si="14"/>
        <v>0</v>
      </c>
      <c r="T120" s="447">
        <f t="shared" si="14"/>
        <v>0</v>
      </c>
      <c r="U120" s="447">
        <f t="shared" si="14"/>
        <v>0</v>
      </c>
      <c r="V120" s="447">
        <f t="shared" si="14"/>
        <v>-3</v>
      </c>
      <c r="W120" s="447">
        <f t="shared" si="14"/>
        <v>0</v>
      </c>
      <c r="X120" s="447">
        <f t="shared" si="14"/>
        <v>0</v>
      </c>
      <c r="Y120" s="447">
        <f t="shared" si="14"/>
        <v>0</v>
      </c>
      <c r="Z120" s="447">
        <f t="shared" si="14"/>
        <v>-12</v>
      </c>
    </row>
    <row r="122" spans="1:26" x14ac:dyDescent="0.25">
      <c r="A122" s="739" t="s">
        <v>1231</v>
      </c>
      <c r="B122" s="739"/>
    </row>
    <row r="123" spans="1:26" ht="30" x14ac:dyDescent="0.25">
      <c r="A123" s="560" t="s">
        <v>1</v>
      </c>
      <c r="B123" s="560" t="s">
        <v>59</v>
      </c>
      <c r="C123" s="425"/>
      <c r="D123" s="425"/>
      <c r="E123" s="425"/>
      <c r="F123" s="426"/>
      <c r="G123" s="432" t="s">
        <v>1225</v>
      </c>
      <c r="H123" s="427" t="s">
        <v>1224</v>
      </c>
      <c r="I123" s="427" t="s">
        <v>1498</v>
      </c>
      <c r="J123" s="427" t="s">
        <v>94</v>
      </c>
      <c r="K123" s="424" t="s">
        <v>681</v>
      </c>
      <c r="L123" s="424" t="s">
        <v>1496</v>
      </c>
      <c r="M123" s="424" t="s">
        <v>1497</v>
      </c>
      <c r="N123" s="424" t="s">
        <v>682</v>
      </c>
      <c r="O123" s="424" t="s">
        <v>683</v>
      </c>
      <c r="P123" s="424" t="s">
        <v>87</v>
      </c>
      <c r="Q123" s="424" t="s">
        <v>684</v>
      </c>
      <c r="R123" s="424" t="s">
        <v>685</v>
      </c>
      <c r="S123" s="424" t="s">
        <v>690</v>
      </c>
      <c r="T123" s="424" t="s">
        <v>686</v>
      </c>
      <c r="U123" s="424" t="s">
        <v>687</v>
      </c>
      <c r="V123" s="424" t="s">
        <v>688</v>
      </c>
      <c r="W123" s="424" t="s">
        <v>689</v>
      </c>
      <c r="X123" s="424" t="s">
        <v>138</v>
      </c>
      <c r="Y123" s="424" t="s">
        <v>1385</v>
      </c>
      <c r="Z123" s="424" t="s">
        <v>1238</v>
      </c>
    </row>
    <row r="124" spans="1:26" ht="15" customHeight="1" x14ac:dyDescent="0.25">
      <c r="A124" s="565" t="s">
        <v>374</v>
      </c>
      <c r="B124" s="535" t="s">
        <v>115</v>
      </c>
      <c r="C124" s="487"/>
      <c r="D124" s="488"/>
      <c r="E124" s="486"/>
      <c r="F124" s="488"/>
      <c r="G124" s="486">
        <v>-2</v>
      </c>
      <c r="H124" s="539">
        <v>-3286</v>
      </c>
      <c r="I124" s="539"/>
      <c r="J124" s="539">
        <f>H124*0.4</f>
        <v>-1314.4</v>
      </c>
      <c r="K124" s="535"/>
      <c r="L124" s="535"/>
      <c r="M124" s="535"/>
      <c r="N124" s="535"/>
      <c r="O124" s="535"/>
      <c r="P124" s="535">
        <v>-1</v>
      </c>
      <c r="Q124" s="535">
        <v>-1</v>
      </c>
      <c r="R124" s="535"/>
      <c r="S124" s="535"/>
      <c r="T124" s="535"/>
      <c r="U124" s="535"/>
      <c r="V124" s="535"/>
      <c r="W124" s="535"/>
      <c r="X124" s="535"/>
      <c r="Y124" s="535"/>
      <c r="Z124" s="535">
        <f t="shared" ref="Z124:Z126" si="15">SUM(K124:Y124)</f>
        <v>-2</v>
      </c>
    </row>
    <row r="125" spans="1:26" ht="15" customHeight="1" x14ac:dyDescent="0.25">
      <c r="A125" s="567" t="s">
        <v>1393</v>
      </c>
      <c r="B125" s="535" t="s">
        <v>115</v>
      </c>
      <c r="C125" s="487"/>
      <c r="D125" s="488"/>
      <c r="E125" s="486"/>
      <c r="F125" s="488"/>
      <c r="G125" s="486">
        <v>-6</v>
      </c>
      <c r="H125" s="539">
        <v>-8215</v>
      </c>
      <c r="I125" s="539"/>
      <c r="J125" s="539">
        <f>H125*0.4</f>
        <v>-3286</v>
      </c>
      <c r="K125" s="535">
        <v>-1</v>
      </c>
      <c r="L125" s="535">
        <v>-1</v>
      </c>
      <c r="M125" s="535">
        <v>-1</v>
      </c>
      <c r="N125" s="535"/>
      <c r="O125" s="535"/>
      <c r="P125" s="535">
        <v>-1</v>
      </c>
      <c r="Q125" s="535">
        <v>-1</v>
      </c>
      <c r="R125" s="535"/>
      <c r="S125" s="535">
        <v>-1</v>
      </c>
      <c r="T125" s="535"/>
      <c r="U125" s="535"/>
      <c r="V125" s="535"/>
      <c r="W125" s="535"/>
      <c r="X125" s="535"/>
      <c r="Y125" s="535"/>
      <c r="Z125" s="535">
        <f t="shared" si="15"/>
        <v>-6</v>
      </c>
    </row>
    <row r="126" spans="1:26" ht="15" customHeight="1" x14ac:dyDescent="0.25">
      <c r="A126" s="538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5"/>
        <v>0</v>
      </c>
    </row>
    <row r="127" spans="1:26" ht="15" customHeight="1" x14ac:dyDescent="0.25">
      <c r="A127" s="443" t="s">
        <v>1230</v>
      </c>
      <c r="B127" s="444"/>
      <c r="C127" s="445"/>
      <c r="D127" s="446"/>
      <c r="E127" s="447"/>
      <c r="F127" s="446"/>
      <c r="G127" s="447">
        <f>SUM(G124:G126)</f>
        <v>-8</v>
      </c>
      <c r="H127" s="448">
        <f>SUM(H124:H126)</f>
        <v>-11501</v>
      </c>
      <c r="I127" s="448">
        <f t="shared" ref="I127:Z127" si="16">SUM(I124:I126)</f>
        <v>0</v>
      </c>
      <c r="J127" s="448">
        <f t="shared" si="16"/>
        <v>-4600.3999999999996</v>
      </c>
      <c r="K127" s="447">
        <f t="shared" si="16"/>
        <v>-1</v>
      </c>
      <c r="L127" s="447">
        <f t="shared" si="16"/>
        <v>-1</v>
      </c>
      <c r="M127" s="447">
        <f t="shared" si="16"/>
        <v>-1</v>
      </c>
      <c r="N127" s="447">
        <f t="shared" si="16"/>
        <v>0</v>
      </c>
      <c r="O127" s="447">
        <f t="shared" si="16"/>
        <v>0</v>
      </c>
      <c r="P127" s="447">
        <f t="shared" si="16"/>
        <v>-2</v>
      </c>
      <c r="Q127" s="447">
        <f t="shared" si="16"/>
        <v>-2</v>
      </c>
      <c r="R127" s="447">
        <f t="shared" si="16"/>
        <v>0</v>
      </c>
      <c r="S127" s="447">
        <f t="shared" si="16"/>
        <v>-1</v>
      </c>
      <c r="T127" s="447">
        <f t="shared" si="16"/>
        <v>0</v>
      </c>
      <c r="U127" s="447">
        <f t="shared" si="16"/>
        <v>0</v>
      </c>
      <c r="V127" s="447">
        <f t="shared" si="16"/>
        <v>0</v>
      </c>
      <c r="W127" s="447">
        <f t="shared" si="16"/>
        <v>0</v>
      </c>
      <c r="X127" s="447"/>
      <c r="Y127" s="447"/>
      <c r="Z127" s="447">
        <f t="shared" si="16"/>
        <v>-8</v>
      </c>
    </row>
    <row r="128" spans="1:26" ht="15.75" thickBot="1" x14ac:dyDescent="0.3"/>
    <row r="129" spans="1:26" ht="15.75" thickBot="1" x14ac:dyDescent="0.3">
      <c r="A129" s="436" t="s">
        <v>1232</v>
      </c>
      <c r="B129" s="434"/>
      <c r="C129" s="434"/>
      <c r="D129" s="434"/>
      <c r="E129" s="434"/>
      <c r="F129" s="434"/>
      <c r="G129" s="437">
        <f t="shared" ref="G129:W129" si="17">G84+G95+G107+G120+G127</f>
        <v>5</v>
      </c>
      <c r="H129" s="438">
        <f t="shared" si="17"/>
        <v>9629.0499999999811</v>
      </c>
      <c r="I129" s="438">
        <f t="shared" si="17"/>
        <v>22800</v>
      </c>
      <c r="J129" s="438">
        <f t="shared" si="17"/>
        <v>211724.6</v>
      </c>
      <c r="K129" s="450">
        <f t="shared" si="17"/>
        <v>1</v>
      </c>
      <c r="L129" s="450">
        <f t="shared" si="17"/>
        <v>-1</v>
      </c>
      <c r="M129" s="450">
        <f t="shared" si="17"/>
        <v>-1</v>
      </c>
      <c r="N129" s="450">
        <f t="shared" si="17"/>
        <v>1</v>
      </c>
      <c r="O129" s="450">
        <f t="shared" si="17"/>
        <v>0</v>
      </c>
      <c r="P129" s="450">
        <f t="shared" si="17"/>
        <v>-1</v>
      </c>
      <c r="Q129" s="450">
        <f t="shared" si="17"/>
        <v>-1</v>
      </c>
      <c r="R129" s="450">
        <f t="shared" si="17"/>
        <v>2</v>
      </c>
      <c r="S129" s="450">
        <f t="shared" si="17"/>
        <v>-1</v>
      </c>
      <c r="T129" s="450">
        <f t="shared" si="17"/>
        <v>0</v>
      </c>
      <c r="U129" s="450">
        <f t="shared" si="17"/>
        <v>0</v>
      </c>
      <c r="V129" s="450">
        <f t="shared" si="17"/>
        <v>-2</v>
      </c>
      <c r="W129" s="450">
        <f t="shared" si="17"/>
        <v>0</v>
      </c>
      <c r="X129" s="450"/>
      <c r="Y129" s="450"/>
      <c r="Z129" s="450">
        <f>Z84+Z95+Z107+Z120+Z127</f>
        <v>-3</v>
      </c>
    </row>
    <row r="130" spans="1:26" ht="15.75" thickBot="1" x14ac:dyDescent="0.3">
      <c r="A130" s="436" t="s">
        <v>64</v>
      </c>
      <c r="B130" s="434"/>
      <c r="C130" s="434"/>
      <c r="D130" s="434"/>
      <c r="E130" s="434"/>
      <c r="F130" s="434"/>
      <c r="G130" s="437"/>
      <c r="H130" s="438"/>
      <c r="I130" s="438"/>
      <c r="J130" s="438"/>
    </row>
    <row r="131" spans="1:26" ht="15.75" thickBot="1" x14ac:dyDescent="0.3">
      <c r="A131" s="439" t="s">
        <v>452</v>
      </c>
      <c r="B131" s="440"/>
      <c r="C131" s="440"/>
      <c r="D131" s="440"/>
      <c r="E131" s="440"/>
      <c r="F131" s="440"/>
      <c r="G131" s="441"/>
      <c r="H131" s="442">
        <f>H129-H130</f>
        <v>9629.0499999999811</v>
      </c>
      <c r="I131" s="442"/>
      <c r="J131" s="442"/>
    </row>
    <row r="134" spans="1:26" x14ac:dyDescent="0.25">
      <c r="H134" s="435">
        <f>H84+H107+H120+H127</f>
        <v>-9000.9500000000189</v>
      </c>
      <c r="I134" s="435"/>
      <c r="J134" s="435"/>
    </row>
  </sheetData>
  <mergeCells count="8">
    <mergeCell ref="G3:H3"/>
    <mergeCell ref="A86:B86"/>
    <mergeCell ref="A97:B97"/>
    <mergeCell ref="A109:B109"/>
    <mergeCell ref="A122:B122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19"/>
  <sheetViews>
    <sheetView workbookViewId="0">
      <pane ySplit="1" topLeftCell="A107" activePane="bottomLeft" state="frozen"/>
      <selection pane="bottomLeft" activeCell="D124" sqref="D124"/>
    </sheetView>
  </sheetViews>
  <sheetFormatPr defaultColWidth="8.85546875" defaultRowHeight="15" x14ac:dyDescent="0.25"/>
  <cols>
    <col min="1" max="1" width="12.140625" style="344" customWidth="1"/>
    <col min="2" max="2" width="33.28515625" style="307" customWidth="1"/>
    <col min="3" max="3" width="6" style="308" customWidth="1"/>
    <col min="4" max="4" width="36.42578125" style="308" customWidth="1"/>
    <col min="5" max="5" width="34" style="308" customWidth="1"/>
    <col min="6" max="6" width="12.85546875" style="404" customWidth="1"/>
    <col min="7" max="7" width="13" style="402" customWidth="1"/>
    <col min="8" max="8" width="14.85546875" style="403" customWidth="1"/>
    <col min="9" max="9" width="46.28515625" style="3" customWidth="1"/>
    <col min="10" max="16384" width="8.85546875" style="3"/>
  </cols>
  <sheetData>
    <row r="1" spans="1:14" ht="30" x14ac:dyDescent="0.25">
      <c r="A1" s="232" t="s">
        <v>568</v>
      </c>
      <c r="B1" s="233" t="s">
        <v>569</v>
      </c>
      <c r="C1" s="234" t="s">
        <v>388</v>
      </c>
      <c r="D1" s="234" t="s">
        <v>570</v>
      </c>
      <c r="E1" s="234" t="s">
        <v>571</v>
      </c>
      <c r="F1" s="235" t="s">
        <v>572</v>
      </c>
      <c r="G1" s="236" t="s">
        <v>573</v>
      </c>
      <c r="H1" s="237" t="s">
        <v>574</v>
      </c>
      <c r="I1" s="238"/>
    </row>
    <row r="2" spans="1:14" ht="17.25" x14ac:dyDescent="0.25">
      <c r="A2" s="239"/>
      <c r="B2" s="240">
        <v>41640</v>
      </c>
      <c r="C2" s="241"/>
      <c r="D2" s="241"/>
      <c r="E2" s="241"/>
      <c r="F2" s="242"/>
      <c r="G2" s="243"/>
      <c r="H2" s="244"/>
      <c r="I2" s="238"/>
    </row>
    <row r="3" spans="1:14" ht="30" x14ac:dyDescent="0.25">
      <c r="A3" s="245" t="s">
        <v>575</v>
      </c>
      <c r="B3" s="246" t="s">
        <v>576</v>
      </c>
      <c r="C3" s="247" t="s">
        <v>115</v>
      </c>
      <c r="D3" s="248" t="s">
        <v>577</v>
      </c>
      <c r="E3" s="248"/>
      <c r="F3" s="249">
        <v>-720</v>
      </c>
      <c r="G3" s="250"/>
      <c r="H3" s="251">
        <v>-720</v>
      </c>
      <c r="I3" s="64"/>
      <c r="J3" s="13"/>
    </row>
    <row r="4" spans="1:14" s="178" customFormat="1" ht="47.25" customHeight="1" x14ac:dyDescent="0.25">
      <c r="A4" s="245">
        <v>41876</v>
      </c>
      <c r="B4" s="405" t="s">
        <v>118</v>
      </c>
      <c r="C4" s="246" t="s">
        <v>60</v>
      </c>
      <c r="D4" s="252" t="s">
        <v>578</v>
      </c>
      <c r="E4" s="252" t="s">
        <v>579</v>
      </c>
      <c r="F4" s="253">
        <v>-5000</v>
      </c>
      <c r="G4" s="250"/>
      <c r="H4" s="251">
        <v>-5000</v>
      </c>
      <c r="I4" s="254"/>
      <c r="J4" s="255"/>
    </row>
    <row r="5" spans="1:14" ht="16.5" x14ac:dyDescent="0.3">
      <c r="A5" s="256"/>
      <c r="B5" s="257"/>
      <c r="C5" s="258"/>
      <c r="D5" s="259"/>
      <c r="E5" s="259"/>
      <c r="F5" s="249"/>
      <c r="G5" s="260"/>
      <c r="H5" s="261"/>
      <c r="I5" s="262"/>
      <c r="J5" s="2"/>
      <c r="K5" s="2"/>
      <c r="L5" s="263"/>
      <c r="M5" s="264"/>
      <c r="N5" s="265"/>
    </row>
    <row r="6" spans="1:14" x14ac:dyDescent="0.25">
      <c r="A6" s="266"/>
      <c r="B6" s="267" t="s">
        <v>580</v>
      </c>
      <c r="C6" s="268"/>
      <c r="D6" s="269"/>
      <c r="E6" s="269"/>
      <c r="F6" s="270"/>
      <c r="G6" s="271"/>
      <c r="H6" s="272">
        <f>SUM(H3:H4)</f>
        <v>-5720</v>
      </c>
    </row>
    <row r="7" spans="1:14" x14ac:dyDescent="0.25">
      <c r="A7" s="273"/>
      <c r="B7" s="274" t="s">
        <v>581</v>
      </c>
      <c r="C7" s="268"/>
      <c r="D7" s="269"/>
      <c r="E7" s="269"/>
      <c r="F7" s="270"/>
      <c r="G7" s="275"/>
      <c r="H7" s="276">
        <f>SUM(H3:H4)</f>
        <v>-5720</v>
      </c>
    </row>
    <row r="8" spans="1:14" x14ac:dyDescent="0.25">
      <c r="A8" s="239"/>
      <c r="B8" s="240">
        <v>41671</v>
      </c>
      <c r="C8" s="258"/>
      <c r="D8" s="259"/>
      <c r="E8" s="259"/>
      <c r="F8" s="249"/>
      <c r="G8" s="236"/>
      <c r="H8" s="237"/>
      <c r="I8" s="64"/>
    </row>
    <row r="9" spans="1:14" ht="30" x14ac:dyDescent="0.25">
      <c r="A9" s="245">
        <v>41671</v>
      </c>
      <c r="B9" s="405" t="s">
        <v>582</v>
      </c>
      <c r="C9" s="277" t="s">
        <v>100</v>
      </c>
      <c r="D9" s="277" t="s">
        <v>583</v>
      </c>
      <c r="E9" s="277" t="s">
        <v>584</v>
      </c>
      <c r="F9" s="249">
        <v>-1300</v>
      </c>
      <c r="G9" s="278">
        <v>1800</v>
      </c>
      <c r="H9" s="279">
        <v>500</v>
      </c>
      <c r="I9" s="64"/>
    </row>
    <row r="10" spans="1:14" ht="30" x14ac:dyDescent="0.25">
      <c r="A10" s="245" t="s">
        <v>585</v>
      </c>
      <c r="B10" s="405" t="s">
        <v>586</v>
      </c>
      <c r="C10" s="277" t="s">
        <v>60</v>
      </c>
      <c r="D10" s="280" t="s">
        <v>587</v>
      </c>
      <c r="E10" s="280" t="s">
        <v>588</v>
      </c>
      <c r="F10" s="249">
        <v>-5000</v>
      </c>
      <c r="G10" s="278"/>
      <c r="H10" s="251">
        <f>F10-G10</f>
        <v>-5000</v>
      </c>
      <c r="I10" s="64"/>
      <c r="J10" s="13"/>
    </row>
    <row r="11" spans="1:14" x14ac:dyDescent="0.25">
      <c r="A11" s="245">
        <v>41697</v>
      </c>
      <c r="B11" s="405" t="s">
        <v>589</v>
      </c>
      <c r="C11" s="277" t="s">
        <v>115</v>
      </c>
      <c r="D11" s="280" t="s">
        <v>590</v>
      </c>
      <c r="E11" s="280" t="s">
        <v>591</v>
      </c>
      <c r="F11" s="249">
        <v>-2070</v>
      </c>
      <c r="G11" s="278">
        <v>2300</v>
      </c>
      <c r="H11" s="279">
        <f>SUM(F11:G11)</f>
        <v>230</v>
      </c>
      <c r="I11" s="64"/>
      <c r="J11" s="13"/>
    </row>
    <row r="12" spans="1:14" x14ac:dyDescent="0.25">
      <c r="A12" s="281"/>
      <c r="B12" s="282"/>
      <c r="C12" s="258"/>
      <c r="D12" s="283"/>
      <c r="E12" s="283"/>
      <c r="F12" s="249"/>
      <c r="G12" s="278"/>
      <c r="H12" s="251"/>
      <c r="I12" s="64"/>
      <c r="J12" s="13"/>
    </row>
    <row r="13" spans="1:14" x14ac:dyDescent="0.25">
      <c r="A13" s="266"/>
      <c r="B13" s="267" t="s">
        <v>592</v>
      </c>
      <c r="C13" s="268"/>
      <c r="D13" s="284"/>
      <c r="E13" s="284"/>
      <c r="F13" s="270"/>
      <c r="G13" s="285"/>
      <c r="H13" s="286">
        <f>SUM(H9:H10:H11)</f>
        <v>-4270</v>
      </c>
      <c r="I13" s="64"/>
      <c r="J13" s="13"/>
    </row>
    <row r="14" spans="1:14" x14ac:dyDescent="0.25">
      <c r="A14" s="273"/>
      <c r="B14" s="274" t="s">
        <v>581</v>
      </c>
      <c r="C14" s="268"/>
      <c r="D14" s="287"/>
      <c r="E14" s="287"/>
      <c r="F14" s="270"/>
      <c r="G14" s="288"/>
      <c r="H14" s="289">
        <f>SUM(H13,H7)</f>
        <v>-9990</v>
      </c>
      <c r="I14" s="64"/>
    </row>
    <row r="15" spans="1:14" x14ac:dyDescent="0.25">
      <c r="A15" s="239"/>
      <c r="B15" s="240">
        <v>41699</v>
      </c>
      <c r="C15" s="258"/>
      <c r="D15" s="259"/>
      <c r="E15" s="259"/>
      <c r="F15" s="249"/>
      <c r="G15" s="290"/>
      <c r="H15" s="237"/>
      <c r="I15" s="64"/>
      <c r="J15" s="13"/>
    </row>
    <row r="16" spans="1:14" ht="31.5" customHeight="1" x14ac:dyDescent="0.25">
      <c r="A16" s="245" t="s">
        <v>593</v>
      </c>
      <c r="B16" s="405" t="s">
        <v>594</v>
      </c>
      <c r="C16" s="277" t="s">
        <v>60</v>
      </c>
      <c r="D16" s="277" t="s">
        <v>595</v>
      </c>
      <c r="E16" s="291" t="s">
        <v>596</v>
      </c>
      <c r="F16" s="249">
        <v>-1300</v>
      </c>
      <c r="G16" s="278">
        <v>1550</v>
      </c>
      <c r="H16" s="279">
        <f>F16+G16</f>
        <v>250</v>
      </c>
      <c r="I16" s="64"/>
      <c r="J16" s="13"/>
    </row>
    <row r="17" spans="1:10" x14ac:dyDescent="0.25">
      <c r="A17" s="245">
        <v>41730</v>
      </c>
      <c r="B17" s="246" t="s">
        <v>597</v>
      </c>
      <c r="C17" s="277" t="s">
        <v>60</v>
      </c>
      <c r="D17" s="280" t="s">
        <v>598</v>
      </c>
      <c r="E17" s="280" t="s">
        <v>599</v>
      </c>
      <c r="F17" s="249">
        <v>-1550</v>
      </c>
      <c r="G17" s="278"/>
      <c r="H17" s="251">
        <f>F17-G17</f>
        <v>-1550</v>
      </c>
      <c r="I17" s="2"/>
    </row>
    <row r="18" spans="1:10" x14ac:dyDescent="0.25">
      <c r="A18" s="245">
        <v>41730</v>
      </c>
      <c r="B18" s="246" t="s">
        <v>600</v>
      </c>
      <c r="C18" s="277" t="s">
        <v>60</v>
      </c>
      <c r="D18" s="280" t="s">
        <v>601</v>
      </c>
      <c r="E18" s="280"/>
      <c r="F18" s="249">
        <v>-1800</v>
      </c>
      <c r="G18" s="278"/>
      <c r="H18" s="251">
        <f>F18-G18</f>
        <v>-1800</v>
      </c>
    </row>
    <row r="19" spans="1:10" s="298" customFormat="1" ht="30" x14ac:dyDescent="0.25">
      <c r="A19" s="292">
        <v>41918</v>
      </c>
      <c r="B19" s="405" t="s">
        <v>22</v>
      </c>
      <c r="C19" s="293"/>
      <c r="D19" s="294" t="s">
        <v>602</v>
      </c>
      <c r="E19" s="294" t="s">
        <v>603</v>
      </c>
      <c r="F19" s="295">
        <v>-6300</v>
      </c>
      <c r="G19" s="296">
        <v>2415</v>
      </c>
      <c r="H19" s="297">
        <f>F19+G19</f>
        <v>-3885</v>
      </c>
    </row>
    <row r="20" spans="1:10" ht="30" x14ac:dyDescent="0.25">
      <c r="A20" s="245" t="s">
        <v>604</v>
      </c>
      <c r="B20" s="246" t="s">
        <v>605</v>
      </c>
      <c r="C20" s="277" t="s">
        <v>115</v>
      </c>
      <c r="D20" s="280" t="s">
        <v>606</v>
      </c>
      <c r="E20" s="280"/>
      <c r="F20" s="249">
        <v>-5000</v>
      </c>
      <c r="G20" s="278"/>
      <c r="H20" s="251">
        <f>F20-G20</f>
        <v>-5000</v>
      </c>
    </row>
    <row r="21" spans="1:10" x14ac:dyDescent="0.25">
      <c r="A21" s="245">
        <v>41730</v>
      </c>
      <c r="B21" s="246" t="s">
        <v>607</v>
      </c>
      <c r="C21" s="277" t="s">
        <v>61</v>
      </c>
      <c r="D21" s="280" t="s">
        <v>608</v>
      </c>
      <c r="E21" s="280"/>
      <c r="F21" s="249">
        <v>-2070</v>
      </c>
      <c r="G21" s="278"/>
      <c r="H21" s="251">
        <f>F21- G21</f>
        <v>-2070</v>
      </c>
    </row>
    <row r="22" spans="1:10" ht="45" x14ac:dyDescent="0.25">
      <c r="A22" s="299"/>
      <c r="B22" s="300" t="s">
        <v>609</v>
      </c>
      <c r="C22" s="301" t="s">
        <v>60</v>
      </c>
      <c r="D22" s="302" t="s">
        <v>610</v>
      </c>
      <c r="E22" s="302" t="s">
        <v>611</v>
      </c>
      <c r="F22" s="303">
        <v>-8730</v>
      </c>
      <c r="G22" s="304">
        <v>6200</v>
      </c>
      <c r="H22" s="305">
        <f>F22+G22</f>
        <v>-2530</v>
      </c>
    </row>
    <row r="23" spans="1:10" x14ac:dyDescent="0.25">
      <c r="A23" s="306"/>
      <c r="F23" s="249"/>
      <c r="G23" s="309"/>
      <c r="H23" s="310"/>
    </row>
    <row r="24" spans="1:10" x14ac:dyDescent="0.25">
      <c r="A24" s="266"/>
      <c r="B24" s="267" t="s">
        <v>612</v>
      </c>
      <c r="C24" s="284"/>
      <c r="D24" s="284"/>
      <c r="E24" s="284"/>
      <c r="F24" s="270"/>
      <c r="G24" s="289"/>
      <c r="H24" s="286">
        <f>SUM(H16,H17,H18,H19,H20,H21,H22)</f>
        <v>-16585</v>
      </c>
    </row>
    <row r="25" spans="1:10" x14ac:dyDescent="0.25">
      <c r="A25" s="273"/>
      <c r="B25" s="274" t="s">
        <v>581</v>
      </c>
      <c r="C25" s="311"/>
      <c r="D25" s="287"/>
      <c r="E25" s="287"/>
      <c r="F25" s="270"/>
      <c r="G25" s="312"/>
      <c r="H25" s="289">
        <f>SUM(H6,H13,H24)</f>
        <v>-26575</v>
      </c>
      <c r="I25" s="64"/>
      <c r="J25" s="13"/>
    </row>
    <row r="26" spans="1:10" x14ac:dyDescent="0.25">
      <c r="A26" s="239"/>
      <c r="B26" s="240">
        <v>41730</v>
      </c>
      <c r="C26" s="313"/>
      <c r="D26" s="314"/>
      <c r="E26" s="314"/>
      <c r="F26" s="249"/>
      <c r="G26" s="315"/>
      <c r="H26" s="251"/>
      <c r="I26" s="64"/>
      <c r="J26" s="13"/>
    </row>
    <row r="27" spans="1:10" ht="25.5" x14ac:dyDescent="0.25">
      <c r="A27" s="245">
        <v>41765</v>
      </c>
      <c r="B27" s="246" t="s">
        <v>613</v>
      </c>
      <c r="C27" s="277" t="s">
        <v>61</v>
      </c>
      <c r="D27" s="277" t="s">
        <v>614</v>
      </c>
      <c r="E27" s="316" t="s">
        <v>615</v>
      </c>
      <c r="F27" s="249">
        <v>-2200</v>
      </c>
      <c r="G27" s="236"/>
      <c r="H27" s="249">
        <v>-2200</v>
      </c>
      <c r="I27" s="64"/>
    </row>
    <row r="28" spans="1:10" x14ac:dyDescent="0.25">
      <c r="A28" s="281"/>
      <c r="B28" s="317"/>
      <c r="C28" s="318"/>
      <c r="D28" s="319"/>
      <c r="E28" s="319"/>
      <c r="F28" s="249"/>
      <c r="G28" s="320"/>
      <c r="H28" s="251"/>
      <c r="I28" s="64"/>
    </row>
    <row r="29" spans="1:10" x14ac:dyDescent="0.25">
      <c r="A29" s="266"/>
      <c r="B29" s="267" t="s">
        <v>616</v>
      </c>
      <c r="C29" s="284"/>
      <c r="D29" s="284"/>
      <c r="E29" s="284"/>
      <c r="F29" s="270"/>
      <c r="G29" s="289"/>
      <c r="H29" s="286">
        <f>SUM(H27)</f>
        <v>-2200</v>
      </c>
      <c r="I29" s="64"/>
    </row>
    <row r="30" spans="1:10" x14ac:dyDescent="0.25">
      <c r="A30" s="273"/>
      <c r="B30" s="274" t="s">
        <v>581</v>
      </c>
      <c r="C30" s="311"/>
      <c r="D30" s="287"/>
      <c r="E30" s="287"/>
      <c r="F30" s="270"/>
      <c r="G30" s="312"/>
      <c r="H30" s="289">
        <f>SUM(H29,H24,H13,H6)</f>
        <v>-28775</v>
      </c>
      <c r="I30" s="64"/>
    </row>
    <row r="31" spans="1:10" x14ac:dyDescent="0.25">
      <c r="A31" s="239"/>
      <c r="B31" s="240">
        <v>41760</v>
      </c>
      <c r="C31" s="313"/>
      <c r="D31" s="314"/>
      <c r="E31" s="314"/>
      <c r="F31" s="249"/>
      <c r="G31" s="290"/>
      <c r="H31" s="251"/>
      <c r="I31" s="64"/>
    </row>
    <row r="32" spans="1:10" ht="60" x14ac:dyDescent="0.25">
      <c r="A32" s="245">
        <v>41796</v>
      </c>
      <c r="B32" s="246" t="s">
        <v>617</v>
      </c>
      <c r="C32" s="277"/>
      <c r="D32" s="277" t="s">
        <v>618</v>
      </c>
      <c r="E32" s="277" t="s">
        <v>619</v>
      </c>
      <c r="F32" s="249">
        <v>-3420</v>
      </c>
      <c r="G32" s="290"/>
      <c r="H32" s="251">
        <v>-3420</v>
      </c>
      <c r="I32" s="64"/>
    </row>
    <row r="33" spans="1:10" x14ac:dyDescent="0.25">
      <c r="A33" s="245">
        <v>41778</v>
      </c>
      <c r="B33" s="246" t="s">
        <v>620</v>
      </c>
      <c r="C33" s="277" t="s">
        <v>61</v>
      </c>
      <c r="D33" s="277" t="s">
        <v>614</v>
      </c>
      <c r="E33" s="277"/>
      <c r="F33" s="249">
        <v>-2200</v>
      </c>
      <c r="G33" s="290"/>
      <c r="H33" s="251">
        <v>-2200</v>
      </c>
      <c r="I33" s="64"/>
    </row>
    <row r="34" spans="1:10" s="1" customFormat="1" ht="38.25" x14ac:dyDescent="0.25">
      <c r="A34" s="245">
        <v>41806</v>
      </c>
      <c r="B34" s="321" t="s">
        <v>621</v>
      </c>
      <c r="C34" s="277" t="s">
        <v>100</v>
      </c>
      <c r="D34" s="280" t="s">
        <v>622</v>
      </c>
      <c r="E34" s="316" t="s">
        <v>623</v>
      </c>
      <c r="F34" s="249">
        <v>-2300</v>
      </c>
      <c r="G34" s="290">
        <v>2800</v>
      </c>
      <c r="H34" s="279">
        <f>F34+G34</f>
        <v>500</v>
      </c>
      <c r="I34" s="64"/>
    </row>
    <row r="35" spans="1:10" ht="30" x14ac:dyDescent="0.25">
      <c r="A35" s="245">
        <v>41775</v>
      </c>
      <c r="B35" s="246" t="s">
        <v>624</v>
      </c>
      <c r="C35" s="277" t="s">
        <v>60</v>
      </c>
      <c r="D35" s="277" t="s">
        <v>625</v>
      </c>
      <c r="E35" s="277"/>
      <c r="F35" s="249">
        <v>0</v>
      </c>
      <c r="G35" s="290">
        <v>0</v>
      </c>
      <c r="H35" s="237"/>
      <c r="I35" s="64"/>
    </row>
    <row r="36" spans="1:10" x14ac:dyDescent="0.25">
      <c r="A36" s="266"/>
      <c r="B36" s="267" t="s">
        <v>626</v>
      </c>
      <c r="C36" s="284"/>
      <c r="D36" s="284"/>
      <c r="E36" s="284"/>
      <c r="F36" s="270"/>
      <c r="G36" s="289"/>
      <c r="H36" s="286">
        <f>SUM(H34,H33,H32)</f>
        <v>-5120</v>
      </c>
      <c r="I36" s="64"/>
    </row>
    <row r="37" spans="1:10" x14ac:dyDescent="0.25">
      <c r="A37" s="273"/>
      <c r="B37" s="274" t="s">
        <v>581</v>
      </c>
      <c r="C37" s="311"/>
      <c r="D37" s="287"/>
      <c r="E37" s="287"/>
      <c r="F37" s="270"/>
      <c r="G37" s="312"/>
      <c r="H37" s="289">
        <f>SUM(H30,H36)</f>
        <v>-33895</v>
      </c>
    </row>
    <row r="38" spans="1:10" x14ac:dyDescent="0.25">
      <c r="A38" s="239"/>
      <c r="B38" s="240">
        <v>41791</v>
      </c>
      <c r="C38" s="322"/>
      <c r="D38" s="323"/>
      <c r="E38" s="323"/>
      <c r="F38" s="324"/>
      <c r="G38" s="325"/>
      <c r="H38" s="326"/>
    </row>
    <row r="39" spans="1:10" x14ac:dyDescent="0.25">
      <c r="A39" s="245">
        <v>41796</v>
      </c>
      <c r="B39" s="246" t="s">
        <v>627</v>
      </c>
      <c r="C39" s="247"/>
      <c r="D39" s="247" t="s">
        <v>614</v>
      </c>
      <c r="E39" s="247" t="s">
        <v>628</v>
      </c>
      <c r="F39" s="249">
        <v>-2200</v>
      </c>
      <c r="G39" s="236"/>
      <c r="H39" s="251">
        <v>-2200</v>
      </c>
    </row>
    <row r="40" spans="1:10" x14ac:dyDescent="0.25">
      <c r="A40" s="281"/>
      <c r="B40" s="300"/>
      <c r="C40" s="327"/>
      <c r="D40" s="328"/>
      <c r="E40" s="328"/>
      <c r="F40" s="249"/>
      <c r="G40" s="320"/>
      <c r="H40" s="251"/>
      <c r="I40" s="101"/>
      <c r="J40" s="13"/>
    </row>
    <row r="41" spans="1:10" x14ac:dyDescent="0.25">
      <c r="A41" s="281"/>
      <c r="B41" s="300"/>
      <c r="C41" s="327"/>
      <c r="D41" s="328"/>
      <c r="E41" s="328"/>
      <c r="F41" s="249"/>
      <c r="G41" s="320"/>
      <c r="H41" s="251"/>
      <c r="I41" s="101"/>
      <c r="J41" s="13"/>
    </row>
    <row r="42" spans="1:10" x14ac:dyDescent="0.25">
      <c r="A42" s="266"/>
      <c r="B42" s="267" t="s">
        <v>629</v>
      </c>
      <c r="C42" s="284"/>
      <c r="D42" s="284"/>
      <c r="E42" s="284"/>
      <c r="F42" s="270"/>
      <c r="G42" s="289"/>
      <c r="H42" s="286">
        <v>-2200</v>
      </c>
      <c r="I42" s="101"/>
      <c r="J42" s="13"/>
    </row>
    <row r="43" spans="1:10" x14ac:dyDescent="0.25">
      <c r="A43" s="273"/>
      <c r="B43" s="274" t="s">
        <v>581</v>
      </c>
      <c r="C43" s="311"/>
      <c r="D43" s="287"/>
      <c r="E43" s="287"/>
      <c r="F43" s="270"/>
      <c r="G43" s="312"/>
      <c r="H43" s="289">
        <f>SUM(H37,H42)</f>
        <v>-36095</v>
      </c>
      <c r="I43" s="101"/>
      <c r="J43" s="13"/>
    </row>
    <row r="44" spans="1:10" x14ac:dyDescent="0.25">
      <c r="A44" s="239"/>
      <c r="B44" s="240">
        <v>41821</v>
      </c>
      <c r="C44" s="329"/>
      <c r="D44" s="330"/>
      <c r="E44" s="330"/>
      <c r="F44" s="324"/>
      <c r="G44" s="331"/>
      <c r="H44" s="332"/>
      <c r="I44" s="101"/>
      <c r="J44" s="13"/>
    </row>
    <row r="45" spans="1:10" s="337" customFormat="1" x14ac:dyDescent="0.25">
      <c r="A45" s="245">
        <v>41864</v>
      </c>
      <c r="B45" s="321" t="s">
        <v>25</v>
      </c>
      <c r="C45" s="333" t="s">
        <v>61</v>
      </c>
      <c r="D45" s="334" t="s">
        <v>630</v>
      </c>
      <c r="E45" s="334" t="s">
        <v>631</v>
      </c>
      <c r="F45" s="324">
        <v>-4600</v>
      </c>
      <c r="G45" s="335"/>
      <c r="H45" s="336">
        <f>F45-G45</f>
        <v>-4600</v>
      </c>
      <c r="J45" s="338"/>
    </row>
    <row r="46" spans="1:10" x14ac:dyDescent="0.25">
      <c r="A46" s="281"/>
      <c r="B46" s="282"/>
      <c r="C46" s="258"/>
      <c r="D46" s="283"/>
      <c r="E46" s="283"/>
      <c r="F46" s="249"/>
      <c r="G46" s="320"/>
      <c r="H46" s="251"/>
      <c r="I46" s="101"/>
      <c r="J46" s="13"/>
    </row>
    <row r="47" spans="1:10" x14ac:dyDescent="0.25">
      <c r="A47" s="266"/>
      <c r="B47" s="267" t="s">
        <v>632</v>
      </c>
      <c r="C47" s="284"/>
      <c r="D47" s="284"/>
      <c r="E47" s="284"/>
      <c r="F47" s="270"/>
      <c r="G47" s="289"/>
      <c r="H47" s="286">
        <f>SUM(H45)</f>
        <v>-4600</v>
      </c>
      <c r="I47" s="101"/>
      <c r="J47" s="13"/>
    </row>
    <row r="48" spans="1:10" x14ac:dyDescent="0.25">
      <c r="A48" s="273"/>
      <c r="B48" s="274" t="s">
        <v>581</v>
      </c>
      <c r="C48" s="311"/>
      <c r="D48" s="339"/>
      <c r="E48" s="287"/>
      <c r="F48" s="270"/>
      <c r="G48" s="312"/>
      <c r="H48" s="289">
        <f>SUM(H43,H47)</f>
        <v>-40695</v>
      </c>
      <c r="I48" s="340"/>
      <c r="J48" s="13"/>
    </row>
    <row r="49" spans="1:10" x14ac:dyDescent="0.25">
      <c r="A49" s="239"/>
      <c r="B49" s="240">
        <v>41852</v>
      </c>
      <c r="C49" s="329"/>
      <c r="D49" s="330"/>
      <c r="E49" s="330"/>
      <c r="F49" s="324"/>
      <c r="G49" s="331"/>
      <c r="H49" s="332"/>
      <c r="I49" s="101"/>
      <c r="J49" s="13"/>
    </row>
    <row r="50" spans="1:10" s="337" customFormat="1" x14ac:dyDescent="0.25">
      <c r="A50" s="245">
        <v>41929</v>
      </c>
      <c r="B50" s="321" t="s">
        <v>633</v>
      </c>
      <c r="C50" s="341" t="s">
        <v>60</v>
      </c>
      <c r="D50" s="334" t="s">
        <v>590</v>
      </c>
      <c r="E50" s="334" t="s">
        <v>634</v>
      </c>
      <c r="F50" s="324">
        <v>-1229</v>
      </c>
      <c r="G50" s="342"/>
      <c r="H50" s="336">
        <v>-1229</v>
      </c>
      <c r="J50" s="338"/>
    </row>
    <row r="51" spans="1:10" x14ac:dyDescent="0.25">
      <c r="A51" s="239"/>
      <c r="B51" s="343"/>
      <c r="C51" s="329"/>
      <c r="D51" s="330"/>
      <c r="E51" s="330"/>
      <c r="F51" s="324"/>
      <c r="G51" s="331"/>
      <c r="H51" s="332"/>
      <c r="I51" s="101"/>
      <c r="J51" s="13"/>
    </row>
    <row r="52" spans="1:10" x14ac:dyDescent="0.25">
      <c r="A52" s="239"/>
      <c r="B52" s="343"/>
      <c r="C52" s="329"/>
      <c r="D52" s="330"/>
      <c r="E52" s="330"/>
      <c r="F52" s="324"/>
      <c r="G52" s="331"/>
      <c r="H52" s="332"/>
      <c r="I52" s="101"/>
      <c r="J52" s="13"/>
    </row>
    <row r="53" spans="1:10" x14ac:dyDescent="0.25">
      <c r="A53" s="239"/>
      <c r="B53" s="343"/>
      <c r="C53" s="329"/>
      <c r="D53" s="330"/>
      <c r="E53" s="330"/>
      <c r="F53" s="324"/>
      <c r="G53" s="331"/>
      <c r="H53" s="332"/>
      <c r="I53" s="101"/>
      <c r="J53" s="13"/>
    </row>
    <row r="54" spans="1:10" x14ac:dyDescent="0.25">
      <c r="C54" s="345"/>
      <c r="D54" s="259"/>
      <c r="E54" s="259"/>
      <c r="F54" s="249"/>
      <c r="G54" s="236"/>
      <c r="H54" s="237"/>
      <c r="I54" s="101"/>
      <c r="J54" s="13"/>
    </row>
    <row r="55" spans="1:10" x14ac:dyDescent="0.25">
      <c r="A55" s="346"/>
      <c r="B55" s="282"/>
      <c r="C55" s="258"/>
      <c r="D55" s="258"/>
      <c r="E55" s="258"/>
      <c r="F55" s="249"/>
      <c r="G55" s="320"/>
      <c r="H55" s="251"/>
      <c r="I55" s="101"/>
      <c r="J55" s="13"/>
    </row>
    <row r="56" spans="1:10" x14ac:dyDescent="0.25">
      <c r="A56" s="346"/>
      <c r="B56" s="282"/>
      <c r="C56" s="258"/>
      <c r="D56" s="283"/>
      <c r="E56" s="283"/>
      <c r="F56" s="249"/>
      <c r="G56" s="320"/>
      <c r="H56" s="251"/>
      <c r="I56" s="101"/>
      <c r="J56" s="13"/>
    </row>
    <row r="57" spans="1:10" x14ac:dyDescent="0.25">
      <c r="A57" s="346"/>
      <c r="B57" s="282"/>
      <c r="C57" s="258"/>
      <c r="D57" s="283"/>
      <c r="E57" s="283"/>
      <c r="F57" s="249"/>
      <c r="G57" s="320"/>
      <c r="H57" s="251"/>
      <c r="I57" s="101"/>
      <c r="J57" s="13"/>
    </row>
    <row r="58" spans="1:10" x14ac:dyDescent="0.25">
      <c r="A58" s="346"/>
      <c r="B58" s="282"/>
      <c r="C58" s="258"/>
      <c r="D58" s="283"/>
      <c r="E58" s="283"/>
      <c r="F58" s="249"/>
      <c r="G58" s="320"/>
      <c r="H58" s="251"/>
    </row>
    <row r="59" spans="1:10" x14ac:dyDescent="0.25">
      <c r="A59" s="347"/>
      <c r="B59" s="267" t="s">
        <v>635</v>
      </c>
      <c r="C59" s="284"/>
      <c r="D59" s="284"/>
      <c r="E59" s="284"/>
      <c r="F59" s="270"/>
      <c r="G59" s="289"/>
      <c r="H59" s="286">
        <v>-1229</v>
      </c>
    </row>
    <row r="60" spans="1:10" x14ac:dyDescent="0.25">
      <c r="A60" s="348"/>
      <c r="B60" s="274" t="s">
        <v>581</v>
      </c>
      <c r="C60" s="311"/>
      <c r="D60" s="287"/>
      <c r="E60" s="287"/>
      <c r="F60" s="270"/>
      <c r="G60" s="312"/>
      <c r="H60" s="289">
        <f>H48+H50</f>
        <v>-41924</v>
      </c>
    </row>
    <row r="61" spans="1:10" x14ac:dyDescent="0.25">
      <c r="A61" s="349"/>
      <c r="B61" s="240">
        <v>41883</v>
      </c>
      <c r="C61" s="345"/>
      <c r="D61" s="259"/>
      <c r="E61" s="259"/>
      <c r="F61" s="249"/>
      <c r="G61" s="236"/>
      <c r="H61" s="237"/>
    </row>
    <row r="62" spans="1:10" s="355" customFormat="1" ht="30" x14ac:dyDescent="0.25">
      <c r="A62" s="299"/>
      <c r="B62" s="350" t="s">
        <v>636</v>
      </c>
      <c r="C62" s="351" t="s">
        <v>60</v>
      </c>
      <c r="D62" s="351" t="s">
        <v>637</v>
      </c>
      <c r="E62" s="351" t="s">
        <v>638</v>
      </c>
      <c r="F62" s="352">
        <v>-2200</v>
      </c>
      <c r="G62" s="353"/>
      <c r="H62" s="354">
        <v>-2200</v>
      </c>
    </row>
    <row r="63" spans="1:10" s="359" customFormat="1" ht="90" x14ac:dyDescent="0.25">
      <c r="A63" s="245" t="s">
        <v>639</v>
      </c>
      <c r="B63" s="356" t="s">
        <v>567</v>
      </c>
      <c r="C63" s="357" t="s">
        <v>61</v>
      </c>
      <c r="D63" s="357" t="s">
        <v>640</v>
      </c>
      <c r="E63" s="357" t="s">
        <v>641</v>
      </c>
      <c r="F63" s="358">
        <v>-3255</v>
      </c>
      <c r="G63" s="290">
        <v>4305</v>
      </c>
      <c r="H63" s="279">
        <f>G63+F63</f>
        <v>1050</v>
      </c>
    </row>
    <row r="64" spans="1:10" s="362" customFormat="1" x14ac:dyDescent="0.25">
      <c r="A64" s="239"/>
      <c r="B64" s="350"/>
      <c r="C64" s="351"/>
      <c r="D64" s="351"/>
      <c r="E64" s="351"/>
      <c r="F64" s="358"/>
      <c r="G64" s="360"/>
      <c r="H64" s="361"/>
    </row>
    <row r="65" spans="1:10" s="362" customFormat="1" x14ac:dyDescent="0.25">
      <c r="A65" s="239"/>
      <c r="B65" s="350"/>
      <c r="C65" s="351"/>
      <c r="D65" s="351"/>
      <c r="E65" s="351"/>
      <c r="F65" s="358"/>
      <c r="G65" s="360"/>
      <c r="H65" s="361"/>
    </row>
    <row r="66" spans="1:10" s="362" customFormat="1" x14ac:dyDescent="0.25">
      <c r="A66" s="281"/>
      <c r="B66" s="351"/>
      <c r="C66" s="351"/>
      <c r="D66" s="351"/>
      <c r="E66" s="351"/>
      <c r="F66" s="358"/>
      <c r="G66" s="363"/>
      <c r="H66" s="361"/>
    </row>
    <row r="67" spans="1:10" s="362" customFormat="1" x14ac:dyDescent="0.25">
      <c r="A67" s="281"/>
      <c r="B67" s="351"/>
      <c r="C67" s="351"/>
      <c r="D67" s="364"/>
      <c r="E67" s="364"/>
      <c r="F67" s="358"/>
      <c r="G67" s="363"/>
      <c r="H67" s="361"/>
    </row>
    <row r="68" spans="1:10" s="362" customFormat="1" x14ac:dyDescent="0.25">
      <c r="A68" s="281"/>
      <c r="B68" s="351"/>
      <c r="C68" s="351"/>
      <c r="D68" s="364"/>
      <c r="E68" s="364"/>
      <c r="F68" s="358"/>
      <c r="G68" s="363"/>
      <c r="H68" s="361"/>
    </row>
    <row r="69" spans="1:10" s="362" customFormat="1" x14ac:dyDescent="0.25">
      <c r="A69" s="281"/>
      <c r="B69" s="351"/>
      <c r="C69" s="351"/>
      <c r="D69" s="364"/>
      <c r="E69" s="364"/>
      <c r="F69" s="358"/>
      <c r="G69" s="363"/>
      <c r="H69" s="361"/>
    </row>
    <row r="70" spans="1:10" x14ac:dyDescent="0.25">
      <c r="A70" s="347"/>
      <c r="B70" s="267" t="s">
        <v>642</v>
      </c>
      <c r="C70" s="284"/>
      <c r="D70" s="284"/>
      <c r="E70" s="284"/>
      <c r="F70" s="270"/>
      <c r="G70" s="289"/>
      <c r="H70" s="286">
        <f>SUM(H63)</f>
        <v>1050</v>
      </c>
    </row>
    <row r="71" spans="1:10" x14ac:dyDescent="0.25">
      <c r="A71" s="348"/>
      <c r="B71" s="274" t="s">
        <v>581</v>
      </c>
      <c r="C71" s="311"/>
      <c r="D71" s="287"/>
      <c r="E71" s="287"/>
      <c r="F71" s="270"/>
      <c r="G71" s="312"/>
      <c r="H71" s="289">
        <f>SUM(H63,H60)</f>
        <v>-40874</v>
      </c>
      <c r="I71" s="101"/>
      <c r="J71" s="13"/>
    </row>
    <row r="72" spans="1:10" x14ac:dyDescent="0.25">
      <c r="A72" s="349"/>
      <c r="B72" s="240">
        <v>41913</v>
      </c>
      <c r="C72" s="322"/>
      <c r="D72" s="323"/>
      <c r="E72" s="323"/>
      <c r="F72" s="324"/>
      <c r="G72" s="325"/>
      <c r="H72" s="326"/>
      <c r="I72" s="101"/>
      <c r="J72" s="13"/>
    </row>
    <row r="73" spans="1:10" ht="90" x14ac:dyDescent="0.25">
      <c r="A73" s="365"/>
      <c r="B73" s="366" t="s">
        <v>359</v>
      </c>
      <c r="C73" s="367" t="s">
        <v>61</v>
      </c>
      <c r="D73" s="367" t="s">
        <v>643</v>
      </c>
      <c r="E73" s="368" t="s">
        <v>644</v>
      </c>
      <c r="F73" s="369">
        <v>-1550</v>
      </c>
      <c r="G73" s="370"/>
      <c r="H73" s="371"/>
      <c r="I73" s="101"/>
      <c r="J73" s="13"/>
    </row>
    <row r="74" spans="1:10" x14ac:dyDescent="0.25">
      <c r="A74" s="349"/>
      <c r="B74" s="321"/>
      <c r="C74" s="341"/>
      <c r="D74" s="372"/>
      <c r="E74" s="372"/>
      <c r="F74" s="324"/>
      <c r="G74" s="373"/>
      <c r="H74" s="374"/>
      <c r="I74" s="101"/>
      <c r="J74" s="13"/>
    </row>
    <row r="75" spans="1:10" x14ac:dyDescent="0.25">
      <c r="A75" s="349"/>
      <c r="B75" s="321"/>
      <c r="C75" s="341"/>
      <c r="D75" s="372"/>
      <c r="E75" s="372"/>
      <c r="F75" s="324"/>
      <c r="G75" s="373"/>
      <c r="H75" s="374"/>
      <c r="I75" s="101"/>
      <c r="J75" s="13"/>
    </row>
    <row r="76" spans="1:10" x14ac:dyDescent="0.25">
      <c r="A76" s="349"/>
      <c r="B76" s="321"/>
      <c r="C76" s="341"/>
      <c r="D76" s="372"/>
      <c r="E76" s="372"/>
      <c r="F76" s="324"/>
      <c r="G76" s="373"/>
      <c r="H76" s="374"/>
      <c r="I76" s="101"/>
      <c r="J76" s="13"/>
    </row>
    <row r="77" spans="1:10" x14ac:dyDescent="0.25">
      <c r="B77" s="300"/>
      <c r="C77" s="375"/>
      <c r="D77" s="327"/>
      <c r="E77" s="327"/>
      <c r="F77" s="249"/>
      <c r="G77" s="290"/>
      <c r="H77" s="279"/>
      <c r="I77" s="101"/>
      <c r="J77" s="13"/>
    </row>
    <row r="78" spans="1:10" x14ac:dyDescent="0.25">
      <c r="A78" s="346"/>
      <c r="B78" s="300"/>
      <c r="C78" s="327"/>
      <c r="D78" s="327"/>
      <c r="E78" s="327"/>
      <c r="F78" s="249"/>
      <c r="G78" s="278"/>
      <c r="H78" s="279"/>
      <c r="I78" s="101"/>
      <c r="J78" s="13"/>
    </row>
    <row r="79" spans="1:10" x14ac:dyDescent="0.25">
      <c r="A79" s="346"/>
      <c r="B79" s="300"/>
      <c r="C79" s="327"/>
      <c r="D79" s="328"/>
      <c r="E79" s="328"/>
      <c r="F79" s="249"/>
      <c r="G79" s="278"/>
      <c r="H79" s="279"/>
      <c r="I79" s="101"/>
      <c r="J79" s="13"/>
    </row>
    <row r="80" spans="1:10" x14ac:dyDescent="0.25">
      <c r="A80" s="346"/>
      <c r="B80" s="300"/>
      <c r="C80" s="327"/>
      <c r="D80" s="328"/>
      <c r="E80" s="328"/>
      <c r="F80" s="249"/>
      <c r="G80" s="278"/>
      <c r="H80" s="279"/>
      <c r="I80" s="101"/>
      <c r="J80" s="13"/>
    </row>
    <row r="81" spans="1:10" x14ac:dyDescent="0.25">
      <c r="A81" s="346"/>
      <c r="B81" s="282"/>
      <c r="C81" s="258"/>
      <c r="D81" s="283"/>
      <c r="E81" s="283"/>
      <c r="F81" s="249"/>
      <c r="G81" s="320"/>
      <c r="H81" s="251"/>
      <c r="I81" s="101"/>
      <c r="J81" s="13"/>
    </row>
    <row r="82" spans="1:10" x14ac:dyDescent="0.25">
      <c r="A82" s="347"/>
      <c r="B82" s="267" t="s">
        <v>645</v>
      </c>
      <c r="C82" s="284"/>
      <c r="D82" s="284"/>
      <c r="E82" s="284"/>
      <c r="F82" s="270"/>
      <c r="G82" s="289"/>
      <c r="H82" s="289"/>
      <c r="I82" s="64"/>
      <c r="J82" s="13"/>
    </row>
    <row r="83" spans="1:10" x14ac:dyDescent="0.25">
      <c r="A83" s="348"/>
      <c r="B83" s="274" t="s">
        <v>581</v>
      </c>
      <c r="C83" s="311"/>
      <c r="D83" s="287"/>
      <c r="E83" s="287"/>
      <c r="F83" s="270"/>
      <c r="G83" s="312"/>
      <c r="H83" s="289"/>
    </row>
    <row r="84" spans="1:10" x14ac:dyDescent="0.25">
      <c r="A84" s="349"/>
      <c r="B84" s="240">
        <v>41944</v>
      </c>
      <c r="C84" s="329"/>
      <c r="D84" s="330"/>
      <c r="E84" s="330"/>
      <c r="F84" s="324"/>
      <c r="G84" s="331"/>
      <c r="H84" s="332"/>
    </row>
    <row r="85" spans="1:10" x14ac:dyDescent="0.25">
      <c r="A85" s="349"/>
      <c r="B85" s="343"/>
      <c r="C85" s="329"/>
      <c r="D85" s="330"/>
      <c r="E85" s="330"/>
      <c r="F85" s="324"/>
      <c r="G85" s="331"/>
      <c r="H85" s="332"/>
    </row>
    <row r="86" spans="1:10" x14ac:dyDescent="0.25">
      <c r="A86" s="349"/>
      <c r="B86" s="343"/>
      <c r="C86" s="329"/>
      <c r="D86" s="330"/>
      <c r="E86" s="330"/>
      <c r="F86" s="324"/>
      <c r="G86" s="331"/>
      <c r="H86" s="332"/>
    </row>
    <row r="87" spans="1:10" x14ac:dyDescent="0.25">
      <c r="A87" s="349"/>
      <c r="B87" s="343"/>
      <c r="C87" s="329"/>
      <c r="D87" s="330"/>
      <c r="E87" s="330"/>
      <c r="F87" s="324"/>
      <c r="G87" s="331"/>
      <c r="H87" s="332"/>
    </row>
    <row r="88" spans="1:10" x14ac:dyDescent="0.25">
      <c r="A88" s="349"/>
      <c r="B88" s="343"/>
      <c r="C88" s="329"/>
      <c r="D88" s="330"/>
      <c r="E88" s="330"/>
      <c r="F88" s="324"/>
      <c r="G88" s="331"/>
      <c r="H88" s="332"/>
    </row>
    <row r="89" spans="1:10" x14ac:dyDescent="0.25">
      <c r="C89" s="345"/>
      <c r="D89" s="259"/>
      <c r="E89" s="259"/>
      <c r="F89" s="249"/>
      <c r="G89" s="236"/>
      <c r="H89" s="237"/>
    </row>
    <row r="90" spans="1:10" x14ac:dyDescent="0.25">
      <c r="A90" s="346"/>
      <c r="B90" s="282"/>
      <c r="C90" s="258"/>
      <c r="D90" s="258"/>
      <c r="E90" s="258"/>
      <c r="F90" s="249"/>
      <c r="G90" s="320"/>
      <c r="H90" s="251"/>
    </row>
    <row r="91" spans="1:10" x14ac:dyDescent="0.25">
      <c r="A91" s="346"/>
      <c r="B91" s="282"/>
      <c r="C91" s="258"/>
      <c r="D91" s="283"/>
      <c r="E91" s="283"/>
      <c r="F91" s="249"/>
      <c r="G91" s="320"/>
      <c r="H91" s="251"/>
    </row>
    <row r="92" spans="1:10" x14ac:dyDescent="0.25">
      <c r="A92" s="346"/>
      <c r="B92" s="282"/>
      <c r="C92" s="258"/>
      <c r="D92" s="283"/>
      <c r="E92" s="283"/>
      <c r="F92" s="249"/>
      <c r="G92" s="320"/>
      <c r="H92" s="251"/>
    </row>
    <row r="93" spans="1:10" x14ac:dyDescent="0.25">
      <c r="A93" s="346"/>
      <c r="B93" s="282"/>
      <c r="C93" s="258"/>
      <c r="D93" s="283"/>
      <c r="E93" s="283"/>
      <c r="F93" s="249"/>
      <c r="G93" s="320"/>
      <c r="H93" s="251"/>
    </row>
    <row r="94" spans="1:10" x14ac:dyDescent="0.25">
      <c r="A94" s="347"/>
      <c r="B94" s="267" t="s">
        <v>646</v>
      </c>
      <c r="C94" s="284"/>
      <c r="D94" s="284"/>
      <c r="E94" s="284"/>
      <c r="F94" s="270"/>
      <c r="G94" s="289"/>
      <c r="H94" s="289"/>
    </row>
    <row r="95" spans="1:10" x14ac:dyDescent="0.25">
      <c r="A95" s="348"/>
      <c r="B95" s="274" t="s">
        <v>581</v>
      </c>
      <c r="C95" s="311"/>
      <c r="D95" s="287"/>
      <c r="E95" s="287"/>
      <c r="F95" s="270"/>
      <c r="G95" s="312"/>
      <c r="H95" s="289"/>
    </row>
    <row r="96" spans="1:10" x14ac:dyDescent="0.25">
      <c r="A96" s="349"/>
      <c r="B96" s="240">
        <v>41974</v>
      </c>
      <c r="C96" s="258"/>
      <c r="D96" s="258"/>
      <c r="E96" s="258"/>
      <c r="F96" s="249"/>
      <c r="G96" s="376"/>
      <c r="H96" s="376"/>
    </row>
    <row r="97" spans="1:10" x14ac:dyDescent="0.25">
      <c r="A97" s="346"/>
      <c r="B97" s="282" t="s">
        <v>1147</v>
      </c>
      <c r="C97" s="258" t="s">
        <v>60</v>
      </c>
      <c r="D97" s="258" t="s">
        <v>578</v>
      </c>
      <c r="E97" s="258"/>
      <c r="F97" s="249">
        <v>-2200</v>
      </c>
      <c r="G97" s="376"/>
      <c r="H97" s="376">
        <v>-2200</v>
      </c>
    </row>
    <row r="98" spans="1:10" ht="60" x14ac:dyDescent="0.25">
      <c r="A98" s="346"/>
      <c r="B98" s="282" t="s">
        <v>1154</v>
      </c>
      <c r="C98" s="258" t="s">
        <v>60</v>
      </c>
      <c r="D98" s="258" t="s">
        <v>1155</v>
      </c>
      <c r="E98" s="258"/>
      <c r="F98" s="249">
        <v>-7590</v>
      </c>
      <c r="G98" s="416">
        <v>1550</v>
      </c>
      <c r="H98" s="415">
        <f>F98+G98</f>
        <v>-6040</v>
      </c>
    </row>
    <row r="99" spans="1:10" x14ac:dyDescent="0.25">
      <c r="A99" s="346"/>
      <c r="B99" s="282"/>
      <c r="C99" s="258"/>
      <c r="D99" s="258"/>
      <c r="E99" s="258"/>
      <c r="F99" s="249"/>
      <c r="G99" s="376"/>
      <c r="H99" s="376"/>
    </row>
    <row r="100" spans="1:10" x14ac:dyDescent="0.25">
      <c r="A100" s="346"/>
      <c r="B100" s="282"/>
      <c r="C100" s="258"/>
      <c r="D100" s="258"/>
      <c r="E100" s="258"/>
      <c r="F100" s="249"/>
      <c r="G100" s="376"/>
      <c r="H100" s="376"/>
    </row>
    <row r="101" spans="1:10" x14ac:dyDescent="0.25">
      <c r="C101" s="345"/>
      <c r="D101" s="258"/>
      <c r="E101" s="258"/>
      <c r="F101" s="249"/>
      <c r="G101" s="376"/>
      <c r="H101" s="376"/>
      <c r="I101" s="377"/>
      <c r="J101" s="377"/>
    </row>
    <row r="102" spans="1:10" x14ac:dyDescent="0.25">
      <c r="A102" s="346"/>
      <c r="B102" s="282"/>
      <c r="C102" s="258"/>
      <c r="D102" s="258"/>
      <c r="E102" s="258"/>
      <c r="F102" s="249"/>
      <c r="G102" s="376"/>
      <c r="H102" s="376"/>
      <c r="I102" s="377"/>
      <c r="J102" s="377"/>
    </row>
    <row r="103" spans="1:10" x14ac:dyDescent="0.25">
      <c r="A103" s="346"/>
      <c r="B103" s="282"/>
      <c r="C103" s="258"/>
      <c r="D103" s="258"/>
      <c r="E103" s="258"/>
      <c r="F103" s="249"/>
      <c r="G103" s="376"/>
      <c r="H103" s="376"/>
      <c r="I103" s="377"/>
      <c r="J103" s="377"/>
    </row>
    <row r="104" spans="1:10" x14ac:dyDescent="0.25">
      <c r="A104" s="346"/>
      <c r="B104" s="282"/>
      <c r="C104" s="258"/>
      <c r="D104" s="258"/>
      <c r="E104" s="258"/>
      <c r="F104" s="249"/>
      <c r="G104" s="376"/>
      <c r="H104" s="376"/>
      <c r="I104" s="101"/>
      <c r="J104" s="13"/>
    </row>
    <row r="105" spans="1:10" x14ac:dyDescent="0.25">
      <c r="A105" s="346"/>
      <c r="B105" s="282"/>
      <c r="C105" s="258"/>
      <c r="D105" s="283"/>
      <c r="E105" s="283"/>
      <c r="F105" s="249"/>
      <c r="G105" s="320"/>
      <c r="H105" s="251"/>
      <c r="I105" s="101"/>
      <c r="J105" s="13"/>
    </row>
    <row r="106" spans="1:10" x14ac:dyDescent="0.25">
      <c r="A106" s="347"/>
      <c r="B106" s="267" t="s">
        <v>1204</v>
      </c>
      <c r="C106" s="284"/>
      <c r="D106" s="284"/>
      <c r="E106" s="284"/>
      <c r="F106" s="270"/>
      <c r="G106" s="289"/>
      <c r="H106" s="289"/>
      <c r="I106" s="101"/>
      <c r="J106" s="13"/>
    </row>
    <row r="107" spans="1:10" x14ac:dyDescent="0.25">
      <c r="A107" s="348"/>
      <c r="B107" s="274" t="s">
        <v>581</v>
      </c>
      <c r="C107" s="311"/>
      <c r="D107" s="287"/>
      <c r="E107" s="287"/>
      <c r="F107" s="270"/>
      <c r="G107" s="312"/>
      <c r="H107" s="289"/>
      <c r="I107" s="101"/>
      <c r="J107" s="13"/>
    </row>
    <row r="108" spans="1:10" x14ac:dyDescent="0.25">
      <c r="A108" s="378"/>
      <c r="B108" s="379"/>
      <c r="C108" s="329"/>
      <c r="D108" s="330"/>
      <c r="E108" s="330"/>
      <c r="F108" s="380"/>
      <c r="G108" s="381"/>
      <c r="H108" s="382"/>
      <c r="I108" s="101"/>
      <c r="J108" s="13"/>
    </row>
    <row r="109" spans="1:10" x14ac:dyDescent="0.25">
      <c r="A109" s="378">
        <v>41977</v>
      </c>
      <c r="B109" s="379" t="s">
        <v>1186</v>
      </c>
      <c r="C109" s="329" t="s">
        <v>61</v>
      </c>
      <c r="D109" s="330" t="s">
        <v>1187</v>
      </c>
      <c r="E109" s="330"/>
      <c r="F109" s="380">
        <v>-3990</v>
      </c>
      <c r="G109" s="381"/>
      <c r="H109" s="382">
        <v>-3990</v>
      </c>
      <c r="I109" s="64"/>
      <c r="J109" s="13"/>
    </row>
    <row r="110" spans="1:10" x14ac:dyDescent="0.25">
      <c r="A110" s="383"/>
      <c r="B110" s="384"/>
      <c r="C110" s="385"/>
      <c r="D110" s="386"/>
      <c r="E110" s="386"/>
      <c r="F110" s="380"/>
      <c r="G110" s="387"/>
      <c r="H110" s="388"/>
      <c r="I110" s="64"/>
      <c r="J110" s="13"/>
    </row>
    <row r="111" spans="1:10" x14ac:dyDescent="0.25">
      <c r="A111" s="383"/>
      <c r="B111" s="384"/>
      <c r="C111" s="385"/>
      <c r="D111" s="386"/>
      <c r="E111" s="386"/>
      <c r="F111" s="380"/>
      <c r="G111" s="387"/>
      <c r="H111" s="388"/>
    </row>
    <row r="112" spans="1:10" x14ac:dyDescent="0.25">
      <c r="A112" s="389"/>
      <c r="B112" s="390"/>
      <c r="C112" s="323"/>
      <c r="D112" s="323"/>
      <c r="E112" s="323"/>
      <c r="F112" s="380"/>
      <c r="G112" s="391"/>
      <c r="H112" s="392"/>
    </row>
    <row r="113" spans="1:10" x14ac:dyDescent="0.25">
      <c r="A113" s="347"/>
      <c r="B113" s="267" t="s">
        <v>580</v>
      </c>
      <c r="C113" s="284"/>
      <c r="D113" s="284"/>
      <c r="E113" s="284"/>
      <c r="F113" s="270"/>
      <c r="G113" s="289"/>
      <c r="H113" s="289"/>
      <c r="I113" s="101"/>
      <c r="J113" s="13"/>
    </row>
    <row r="114" spans="1:10" x14ac:dyDescent="0.25">
      <c r="A114" s="348"/>
      <c r="B114" s="274" t="s">
        <v>581</v>
      </c>
      <c r="C114" s="311"/>
      <c r="D114" s="287"/>
      <c r="E114" s="287"/>
      <c r="F114" s="270"/>
      <c r="G114" s="312"/>
      <c r="H114" s="289"/>
      <c r="I114" s="101"/>
      <c r="J114" s="13"/>
    </row>
    <row r="115" spans="1:10" x14ac:dyDescent="0.25">
      <c r="A115" s="378"/>
      <c r="B115" s="379"/>
      <c r="C115" s="329"/>
      <c r="D115" s="330"/>
      <c r="E115" s="330"/>
      <c r="F115" s="380"/>
      <c r="G115" s="381"/>
      <c r="H115" s="382"/>
      <c r="I115" s="101"/>
      <c r="J115" s="13"/>
    </row>
    <row r="116" spans="1:10" x14ac:dyDescent="0.25">
      <c r="A116" s="378">
        <v>42030</v>
      </c>
      <c r="B116" s="379" t="s">
        <v>913</v>
      </c>
      <c r="C116" s="329" t="s">
        <v>115</v>
      </c>
      <c r="D116" s="330" t="s">
        <v>1205</v>
      </c>
      <c r="E116" s="330"/>
      <c r="F116" s="380">
        <v>-1890</v>
      </c>
      <c r="G116" s="381"/>
      <c r="H116" s="382">
        <v>-3990</v>
      </c>
      <c r="I116" s="64"/>
      <c r="J116" s="13"/>
    </row>
    <row r="117" spans="1:10" x14ac:dyDescent="0.25">
      <c r="A117" s="383"/>
      <c r="B117" s="384"/>
      <c r="C117" s="385"/>
      <c r="D117" s="386"/>
      <c r="E117" s="386"/>
      <c r="F117" s="380"/>
      <c r="G117" s="387"/>
      <c r="H117" s="388"/>
      <c r="I117" s="64"/>
      <c r="J117" s="13"/>
    </row>
    <row r="118" spans="1:10" x14ac:dyDescent="0.25">
      <c r="A118" s="383"/>
      <c r="B118" s="384"/>
      <c r="C118" s="385"/>
      <c r="D118" s="386"/>
      <c r="E118" s="386"/>
      <c r="F118" s="380"/>
      <c r="G118" s="387"/>
      <c r="H118" s="388"/>
    </row>
    <row r="119" spans="1:10" x14ac:dyDescent="0.25">
      <c r="A119" s="347"/>
      <c r="B119" s="267" t="s">
        <v>592</v>
      </c>
      <c r="C119" s="284"/>
      <c r="D119" s="284"/>
      <c r="E119" s="284"/>
      <c r="F119" s="270"/>
      <c r="G119" s="289"/>
      <c r="H119" s="289"/>
      <c r="I119" s="101"/>
      <c r="J119" s="13"/>
    </row>
    <row r="120" spans="1:10" x14ac:dyDescent="0.25">
      <c r="A120" s="348"/>
      <c r="B120" s="274" t="s">
        <v>581</v>
      </c>
      <c r="C120" s="311"/>
      <c r="D120" s="287"/>
      <c r="E120" s="287"/>
      <c r="F120" s="270"/>
      <c r="G120" s="312"/>
      <c r="H120" s="289"/>
      <c r="I120" s="101"/>
      <c r="J120" s="13"/>
    </row>
    <row r="121" spans="1:10" x14ac:dyDescent="0.25">
      <c r="A121" s="378"/>
      <c r="B121" s="379"/>
      <c r="C121" s="329"/>
      <c r="D121" s="330"/>
      <c r="E121" s="330"/>
      <c r="F121" s="380"/>
      <c r="G121" s="381"/>
      <c r="H121" s="382"/>
      <c r="I121" s="101"/>
      <c r="J121" s="13"/>
    </row>
    <row r="122" spans="1:10" x14ac:dyDescent="0.25">
      <c r="A122" s="378"/>
      <c r="B122" s="379"/>
      <c r="C122" s="329"/>
      <c r="D122" s="330"/>
      <c r="E122" s="330"/>
      <c r="F122" s="380"/>
      <c r="G122" s="381"/>
      <c r="H122" s="382"/>
      <c r="I122" s="64"/>
      <c r="J122" s="13"/>
    </row>
    <row r="123" spans="1:10" x14ac:dyDescent="0.25">
      <c r="A123" s="383"/>
      <c r="B123" s="384"/>
      <c r="C123" s="385"/>
      <c r="D123" s="386"/>
      <c r="E123" s="386"/>
      <c r="F123" s="380"/>
      <c r="G123" s="387"/>
      <c r="H123" s="388"/>
      <c r="I123" s="64"/>
      <c r="J123" s="13"/>
    </row>
    <row r="124" spans="1:10" x14ac:dyDescent="0.25">
      <c r="A124" s="378"/>
      <c r="B124" s="379"/>
      <c r="C124" s="329"/>
      <c r="D124" s="330"/>
      <c r="E124" s="330"/>
      <c r="F124" s="380"/>
      <c r="G124" s="381"/>
      <c r="H124" s="382"/>
      <c r="I124" s="101"/>
      <c r="J124" s="13"/>
    </row>
    <row r="125" spans="1:10" x14ac:dyDescent="0.25">
      <c r="A125" s="378"/>
      <c r="B125" s="379"/>
      <c r="C125" s="329"/>
      <c r="D125" s="330"/>
      <c r="E125" s="330"/>
      <c r="F125" s="380"/>
      <c r="G125" s="381"/>
      <c r="H125" s="382"/>
      <c r="I125" s="101"/>
      <c r="J125" s="13"/>
    </row>
    <row r="126" spans="1:10" x14ac:dyDescent="0.25">
      <c r="A126" s="378"/>
      <c r="B126" s="379"/>
      <c r="C126" s="329"/>
      <c r="D126" s="330"/>
      <c r="E126" s="330"/>
      <c r="F126" s="380"/>
      <c r="G126" s="381"/>
      <c r="H126" s="382"/>
      <c r="I126" s="101"/>
      <c r="J126" s="13"/>
    </row>
    <row r="127" spans="1:10" x14ac:dyDescent="0.25">
      <c r="A127" s="378"/>
      <c r="B127" s="379"/>
      <c r="C127" s="329"/>
      <c r="D127" s="330"/>
      <c r="E127" s="330"/>
      <c r="F127" s="380"/>
      <c r="G127" s="381"/>
      <c r="H127" s="382"/>
      <c r="I127" s="101"/>
      <c r="J127" s="13"/>
    </row>
    <row r="128" spans="1:10" x14ac:dyDescent="0.25">
      <c r="A128" s="378"/>
      <c r="B128" s="379"/>
      <c r="C128" s="329"/>
      <c r="D128" s="330"/>
      <c r="E128" s="330"/>
      <c r="F128" s="380"/>
      <c r="G128" s="381"/>
      <c r="H128" s="382"/>
      <c r="I128" s="101"/>
      <c r="J128" s="13"/>
    </row>
    <row r="129" spans="1:10" x14ac:dyDescent="0.25">
      <c r="A129" s="378"/>
      <c r="B129" s="379"/>
      <c r="C129" s="329"/>
      <c r="D129" s="330"/>
      <c r="E129" s="330"/>
      <c r="F129" s="380"/>
      <c r="G129" s="381"/>
      <c r="H129" s="382"/>
      <c r="I129" s="64"/>
      <c r="J129" s="13"/>
    </row>
    <row r="130" spans="1:10" x14ac:dyDescent="0.25">
      <c r="A130" s="383"/>
      <c r="B130" s="384"/>
      <c r="C130" s="385"/>
      <c r="D130" s="386"/>
      <c r="E130" s="386"/>
      <c r="F130" s="380"/>
      <c r="G130" s="387"/>
      <c r="H130" s="388"/>
      <c r="I130" s="64"/>
      <c r="J130" s="13"/>
    </row>
    <row r="131" spans="1:10" x14ac:dyDescent="0.25">
      <c r="A131" s="383"/>
      <c r="B131" s="384"/>
      <c r="C131" s="385"/>
      <c r="D131" s="386"/>
      <c r="E131" s="386"/>
      <c r="F131" s="380"/>
      <c r="G131" s="387"/>
      <c r="H131" s="388"/>
    </row>
    <row r="132" spans="1:10" x14ac:dyDescent="0.25">
      <c r="A132" s="389"/>
      <c r="B132" s="390"/>
      <c r="C132" s="323"/>
      <c r="D132" s="323"/>
      <c r="E132" s="323"/>
      <c r="F132" s="380"/>
      <c r="G132" s="391"/>
      <c r="H132" s="392"/>
    </row>
    <row r="133" spans="1:10" x14ac:dyDescent="0.25">
      <c r="A133" s="393"/>
      <c r="B133" s="394"/>
      <c r="C133" s="395"/>
      <c r="D133" s="323"/>
      <c r="E133" s="323"/>
      <c r="F133" s="380"/>
      <c r="G133" s="396"/>
      <c r="H133" s="397"/>
    </row>
    <row r="134" spans="1:10" x14ac:dyDescent="0.25">
      <c r="A134" s="393"/>
      <c r="B134" s="394"/>
      <c r="C134" s="395"/>
      <c r="D134" s="323"/>
      <c r="E134" s="323"/>
      <c r="F134" s="380"/>
      <c r="G134" s="396"/>
      <c r="H134" s="397"/>
    </row>
    <row r="135" spans="1:10" x14ac:dyDescent="0.25">
      <c r="A135" s="393"/>
      <c r="B135" s="394"/>
      <c r="C135" s="395"/>
      <c r="D135" s="323"/>
      <c r="E135" s="323"/>
      <c r="F135" s="380"/>
      <c r="G135" s="398"/>
      <c r="H135" s="392"/>
    </row>
    <row r="136" spans="1:10" x14ac:dyDescent="0.25">
      <c r="A136" s="393"/>
      <c r="B136" s="394"/>
      <c r="C136" s="395"/>
      <c r="D136" s="323"/>
      <c r="E136" s="323"/>
      <c r="F136" s="380"/>
      <c r="G136" s="398"/>
      <c r="H136" s="392"/>
    </row>
    <row r="137" spans="1:10" x14ac:dyDescent="0.25">
      <c r="A137" s="393"/>
      <c r="B137" s="394"/>
      <c r="C137" s="395"/>
      <c r="D137" s="323"/>
      <c r="E137" s="323"/>
      <c r="F137" s="380"/>
      <c r="G137" s="398"/>
      <c r="H137" s="392"/>
    </row>
    <row r="138" spans="1:10" x14ac:dyDescent="0.25">
      <c r="A138" s="393"/>
      <c r="B138" s="394"/>
      <c r="C138" s="395"/>
      <c r="D138" s="323"/>
      <c r="E138" s="323"/>
      <c r="F138" s="380"/>
      <c r="G138" s="398"/>
      <c r="H138" s="392"/>
    </row>
    <row r="139" spans="1:10" x14ac:dyDescent="0.25">
      <c r="A139" s="389"/>
      <c r="B139" s="390"/>
      <c r="C139" s="323"/>
      <c r="D139" s="323"/>
      <c r="E139" s="323"/>
      <c r="F139" s="380"/>
      <c r="G139" s="399"/>
      <c r="H139" s="392"/>
    </row>
    <row r="140" spans="1:10" x14ac:dyDescent="0.25">
      <c r="A140" s="393"/>
      <c r="B140" s="394"/>
      <c r="C140" s="395"/>
      <c r="D140" s="395"/>
      <c r="E140" s="395"/>
      <c r="F140" s="380"/>
      <c r="G140" s="399"/>
      <c r="H140" s="392"/>
    </row>
    <row r="141" spans="1:10" x14ac:dyDescent="0.25">
      <c r="A141" s="393"/>
      <c r="B141" s="394"/>
      <c r="C141" s="395"/>
      <c r="D141" s="323"/>
      <c r="E141" s="323"/>
      <c r="F141" s="380"/>
      <c r="G141" s="400"/>
      <c r="H141" s="392"/>
    </row>
    <row r="142" spans="1:10" x14ac:dyDescent="0.25">
      <c r="A142" s="389"/>
      <c r="B142" s="390"/>
      <c r="C142" s="323"/>
      <c r="D142" s="323"/>
      <c r="E142" s="323"/>
      <c r="F142" s="380"/>
      <c r="G142" s="399"/>
      <c r="H142" s="392"/>
    </row>
    <row r="143" spans="1:10" x14ac:dyDescent="0.25">
      <c r="A143" s="393"/>
      <c r="B143" s="394"/>
      <c r="C143" s="395"/>
      <c r="D143" s="323"/>
      <c r="E143" s="323"/>
      <c r="F143" s="380"/>
      <c r="G143" s="391"/>
      <c r="H143" s="392"/>
      <c r="I143" s="101"/>
      <c r="J143" s="13"/>
    </row>
    <row r="144" spans="1:10" x14ac:dyDescent="0.25">
      <c r="A144" s="378"/>
      <c r="B144" s="379"/>
      <c r="C144" s="329"/>
      <c r="D144" s="330"/>
      <c r="E144" s="330"/>
      <c r="F144" s="380"/>
      <c r="G144" s="381"/>
      <c r="H144" s="382"/>
      <c r="I144" s="101"/>
      <c r="J144" s="13"/>
    </row>
    <row r="145" spans="1:10" x14ac:dyDescent="0.25">
      <c r="A145" s="378"/>
      <c r="B145" s="379"/>
      <c r="C145" s="329"/>
      <c r="D145" s="330"/>
      <c r="E145" s="330"/>
      <c r="F145" s="380"/>
      <c r="G145" s="381"/>
      <c r="H145" s="382"/>
      <c r="I145" s="101"/>
      <c r="J145" s="13"/>
    </row>
    <row r="146" spans="1:10" x14ac:dyDescent="0.25">
      <c r="A146" s="378"/>
      <c r="B146" s="379"/>
      <c r="C146" s="329"/>
      <c r="D146" s="330"/>
      <c r="E146" s="330"/>
      <c r="F146" s="380"/>
      <c r="G146" s="381"/>
      <c r="H146" s="382"/>
      <c r="I146" s="101"/>
      <c r="J146" s="13"/>
    </row>
    <row r="147" spans="1:10" x14ac:dyDescent="0.25">
      <c r="A147" s="378"/>
      <c r="B147" s="379"/>
      <c r="C147" s="329"/>
      <c r="D147" s="330"/>
      <c r="E147" s="330"/>
      <c r="F147" s="380"/>
      <c r="G147" s="381"/>
      <c r="H147" s="382"/>
      <c r="I147" s="101"/>
      <c r="J147" s="13"/>
    </row>
    <row r="148" spans="1:10" x14ac:dyDescent="0.25">
      <c r="A148" s="378"/>
      <c r="B148" s="379"/>
      <c r="C148" s="329"/>
      <c r="D148" s="330"/>
      <c r="E148" s="330"/>
      <c r="F148" s="380"/>
      <c r="G148" s="381"/>
      <c r="H148" s="382"/>
      <c r="I148" s="101"/>
      <c r="J148" s="13"/>
    </row>
    <row r="149" spans="1:10" x14ac:dyDescent="0.25">
      <c r="A149" s="378"/>
      <c r="B149" s="379"/>
      <c r="C149" s="329"/>
      <c r="D149" s="330"/>
      <c r="E149" s="330"/>
      <c r="F149" s="380"/>
      <c r="G149" s="381"/>
      <c r="H149" s="382"/>
      <c r="I149" s="64"/>
      <c r="J149" s="13"/>
    </row>
    <row r="150" spans="1:10" x14ac:dyDescent="0.25">
      <c r="A150" s="383"/>
      <c r="B150" s="384"/>
      <c r="C150" s="385"/>
      <c r="D150" s="386"/>
      <c r="E150" s="386"/>
      <c r="F150" s="380"/>
      <c r="G150" s="387"/>
      <c r="H150" s="388"/>
      <c r="I150" s="64"/>
      <c r="J150" s="13"/>
    </row>
    <row r="151" spans="1:10" x14ac:dyDescent="0.25">
      <c r="A151" s="383"/>
      <c r="B151" s="384"/>
      <c r="C151" s="385"/>
      <c r="D151" s="386"/>
      <c r="E151" s="386"/>
      <c r="F151" s="380"/>
      <c r="G151" s="387"/>
      <c r="H151" s="388"/>
    </row>
    <row r="152" spans="1:10" x14ac:dyDescent="0.25">
      <c r="A152" s="389"/>
      <c r="B152" s="390"/>
      <c r="C152" s="323"/>
      <c r="D152" s="323"/>
      <c r="E152" s="323"/>
      <c r="F152" s="380"/>
      <c r="G152" s="391"/>
      <c r="H152" s="392"/>
    </row>
    <row r="153" spans="1:10" x14ac:dyDescent="0.25">
      <c r="A153" s="393"/>
      <c r="B153" s="394"/>
      <c r="C153" s="395"/>
      <c r="D153" s="323"/>
      <c r="E153" s="323"/>
      <c r="F153" s="380"/>
      <c r="G153" s="396"/>
      <c r="H153" s="397"/>
    </row>
    <row r="154" spans="1:10" x14ac:dyDescent="0.25">
      <c r="A154" s="393"/>
      <c r="B154" s="394"/>
      <c r="C154" s="395"/>
      <c r="D154" s="323"/>
      <c r="E154" s="323"/>
      <c r="F154" s="380"/>
      <c r="G154" s="396"/>
      <c r="H154" s="397"/>
    </row>
    <row r="155" spans="1:10" x14ac:dyDescent="0.25">
      <c r="A155" s="393"/>
      <c r="B155" s="394"/>
      <c r="C155" s="395"/>
      <c r="D155" s="323"/>
      <c r="E155" s="323"/>
      <c r="F155" s="380"/>
      <c r="G155" s="398"/>
      <c r="H155" s="392"/>
    </row>
    <row r="156" spans="1:10" x14ac:dyDescent="0.25">
      <c r="A156" s="393"/>
      <c r="B156" s="394"/>
      <c r="C156" s="395"/>
      <c r="D156" s="323"/>
      <c r="E156" s="323"/>
      <c r="F156" s="380"/>
      <c r="G156" s="398"/>
      <c r="H156" s="392"/>
    </row>
    <row r="157" spans="1:10" x14ac:dyDescent="0.25">
      <c r="A157" s="393"/>
      <c r="B157" s="394"/>
      <c r="C157" s="395"/>
      <c r="D157" s="323"/>
      <c r="E157" s="323"/>
      <c r="F157" s="380"/>
      <c r="G157" s="398"/>
      <c r="H157" s="392"/>
    </row>
    <row r="158" spans="1:10" x14ac:dyDescent="0.25">
      <c r="A158" s="393"/>
      <c r="B158" s="394"/>
      <c r="C158" s="395"/>
      <c r="D158" s="323"/>
      <c r="E158" s="323"/>
      <c r="F158" s="380"/>
      <c r="G158" s="398"/>
      <c r="H158" s="392"/>
    </row>
    <row r="159" spans="1:10" x14ac:dyDescent="0.25">
      <c r="A159" s="389"/>
      <c r="B159" s="390"/>
      <c r="C159" s="323"/>
      <c r="D159" s="323"/>
      <c r="E159" s="323"/>
      <c r="F159" s="380"/>
      <c r="G159" s="399"/>
      <c r="H159" s="392"/>
    </row>
    <row r="160" spans="1:10" x14ac:dyDescent="0.25">
      <c r="A160" s="393"/>
      <c r="B160" s="394"/>
      <c r="C160" s="395"/>
      <c r="D160" s="395"/>
      <c r="E160" s="395"/>
      <c r="F160" s="380"/>
      <c r="G160" s="399"/>
      <c r="H160" s="392"/>
    </row>
    <row r="161" spans="1:10" x14ac:dyDescent="0.25">
      <c r="A161" s="393"/>
      <c r="B161" s="394"/>
      <c r="C161" s="395"/>
      <c r="D161" s="323"/>
      <c r="E161" s="323"/>
      <c r="F161" s="380"/>
      <c r="G161" s="400"/>
      <c r="H161" s="392"/>
    </row>
    <row r="162" spans="1:10" x14ac:dyDescent="0.25">
      <c r="A162" s="389"/>
      <c r="B162" s="390"/>
      <c r="C162" s="323"/>
      <c r="D162" s="323"/>
      <c r="E162" s="323"/>
      <c r="F162" s="380"/>
      <c r="G162" s="399"/>
      <c r="H162" s="392"/>
    </row>
    <row r="163" spans="1:10" x14ac:dyDescent="0.25">
      <c r="A163" s="393"/>
      <c r="B163" s="394"/>
      <c r="C163" s="395"/>
      <c r="D163" s="323"/>
      <c r="E163" s="323"/>
      <c r="F163" s="380"/>
      <c r="G163" s="391"/>
      <c r="H163" s="392"/>
      <c r="I163" s="101"/>
      <c r="J163" s="13"/>
    </row>
    <row r="164" spans="1:10" x14ac:dyDescent="0.25">
      <c r="A164" s="378"/>
      <c r="B164" s="379"/>
      <c r="C164" s="329"/>
      <c r="D164" s="330"/>
      <c r="E164" s="330"/>
      <c r="F164" s="380"/>
      <c r="G164" s="381"/>
      <c r="H164" s="382"/>
      <c r="I164" s="101"/>
      <c r="J164" s="13"/>
    </row>
    <row r="165" spans="1:10" x14ac:dyDescent="0.25">
      <c r="A165" s="378"/>
      <c r="B165" s="379"/>
      <c r="C165" s="329"/>
      <c r="D165" s="330"/>
      <c r="E165" s="330"/>
      <c r="F165" s="380"/>
      <c r="G165" s="381"/>
      <c r="H165" s="382"/>
      <c r="I165" s="101"/>
      <c r="J165" s="13"/>
    </row>
    <row r="166" spans="1:10" x14ac:dyDescent="0.25">
      <c r="A166" s="378"/>
      <c r="B166" s="379"/>
      <c r="C166" s="329"/>
      <c r="D166" s="330"/>
      <c r="E166" s="330"/>
      <c r="F166" s="380"/>
      <c r="G166" s="381"/>
      <c r="H166" s="382"/>
      <c r="I166" s="101"/>
      <c r="J166" s="13"/>
    </row>
    <row r="167" spans="1:10" x14ac:dyDescent="0.25">
      <c r="A167" s="378"/>
      <c r="B167" s="379"/>
      <c r="C167" s="329"/>
      <c r="D167" s="330"/>
      <c r="E167" s="330"/>
      <c r="F167" s="380"/>
      <c r="G167" s="381"/>
      <c r="H167" s="382"/>
      <c r="I167" s="101"/>
      <c r="J167" s="13"/>
    </row>
    <row r="168" spans="1:10" x14ac:dyDescent="0.25">
      <c r="A168" s="378"/>
      <c r="B168" s="379"/>
      <c r="C168" s="329"/>
      <c r="D168" s="330"/>
      <c r="E168" s="330"/>
      <c r="F168" s="380"/>
      <c r="G168" s="381"/>
      <c r="H168" s="382"/>
      <c r="I168" s="101"/>
      <c r="J168" s="13"/>
    </row>
    <row r="169" spans="1:10" x14ac:dyDescent="0.25">
      <c r="A169" s="378"/>
      <c r="B169" s="379"/>
      <c r="C169" s="329"/>
      <c r="D169" s="330"/>
      <c r="E169" s="330"/>
      <c r="F169" s="380"/>
      <c r="G169" s="381"/>
      <c r="H169" s="382"/>
      <c r="I169" s="64"/>
      <c r="J169" s="13"/>
    </row>
    <row r="170" spans="1:10" x14ac:dyDescent="0.25">
      <c r="A170" s="383"/>
      <c r="B170" s="384"/>
      <c r="C170" s="385"/>
      <c r="D170" s="386"/>
      <c r="E170" s="386"/>
      <c r="F170" s="380"/>
      <c r="G170" s="387"/>
      <c r="H170" s="388"/>
      <c r="I170" s="64"/>
      <c r="J170" s="13"/>
    </row>
    <row r="171" spans="1:10" x14ac:dyDescent="0.25">
      <c r="A171" s="383"/>
      <c r="B171" s="384"/>
      <c r="C171" s="385"/>
      <c r="D171" s="386"/>
      <c r="E171" s="386"/>
      <c r="F171" s="380"/>
      <c r="G171" s="387"/>
      <c r="H171" s="388"/>
    </row>
    <row r="172" spans="1:10" x14ac:dyDescent="0.25">
      <c r="A172" s="389"/>
      <c r="B172" s="390"/>
      <c r="C172" s="323"/>
      <c r="D172" s="323"/>
      <c r="E172" s="323"/>
      <c r="F172" s="380"/>
      <c r="G172" s="391"/>
      <c r="H172" s="392"/>
    </row>
    <row r="173" spans="1:10" x14ac:dyDescent="0.25">
      <c r="A173" s="393"/>
      <c r="B173" s="394"/>
      <c r="C173" s="395"/>
      <c r="D173" s="323"/>
      <c r="E173" s="323"/>
      <c r="F173" s="380"/>
      <c r="G173" s="396"/>
      <c r="H173" s="397"/>
    </row>
    <row r="174" spans="1:10" x14ac:dyDescent="0.25">
      <c r="A174" s="393"/>
      <c r="B174" s="394"/>
      <c r="C174" s="395"/>
      <c r="D174" s="323"/>
      <c r="E174" s="323"/>
      <c r="F174" s="380"/>
      <c r="G174" s="396"/>
      <c r="H174" s="397"/>
    </row>
    <row r="175" spans="1:10" x14ac:dyDescent="0.25">
      <c r="A175" s="393"/>
      <c r="B175" s="394"/>
      <c r="C175" s="395"/>
      <c r="D175" s="323"/>
      <c r="E175" s="323"/>
      <c r="F175" s="380"/>
      <c r="G175" s="398"/>
      <c r="H175" s="392"/>
    </row>
    <row r="176" spans="1:10" x14ac:dyDescent="0.25">
      <c r="A176" s="393"/>
      <c r="B176" s="394"/>
      <c r="C176" s="395"/>
      <c r="D176" s="323"/>
      <c r="E176" s="323"/>
      <c r="F176" s="380"/>
      <c r="G176" s="398"/>
      <c r="H176" s="392"/>
    </row>
    <row r="177" spans="1:10" x14ac:dyDescent="0.25">
      <c r="A177" s="393"/>
      <c r="B177" s="394"/>
      <c r="C177" s="395"/>
      <c r="D177" s="323"/>
      <c r="E177" s="323"/>
      <c r="F177" s="380"/>
      <c r="G177" s="398"/>
      <c r="H177" s="392"/>
    </row>
    <row r="178" spans="1:10" x14ac:dyDescent="0.25">
      <c r="A178" s="393"/>
      <c r="B178" s="394"/>
      <c r="C178" s="395"/>
      <c r="D178" s="323"/>
      <c r="E178" s="323"/>
      <c r="F178" s="380"/>
      <c r="G178" s="398"/>
      <c r="H178" s="392"/>
    </row>
    <row r="179" spans="1:10" x14ac:dyDescent="0.25">
      <c r="A179" s="389"/>
      <c r="B179" s="390"/>
      <c r="C179" s="323"/>
      <c r="D179" s="323"/>
      <c r="E179" s="323"/>
      <c r="F179" s="380"/>
      <c r="G179" s="399"/>
      <c r="H179" s="392"/>
    </row>
    <row r="180" spans="1:10" x14ac:dyDescent="0.25">
      <c r="A180" s="393"/>
      <c r="B180" s="394"/>
      <c r="C180" s="395"/>
      <c r="D180" s="395"/>
      <c r="E180" s="395"/>
      <c r="F180" s="380"/>
      <c r="G180" s="399"/>
      <c r="H180" s="392"/>
    </row>
    <row r="181" spans="1:10" x14ac:dyDescent="0.25">
      <c r="A181" s="393"/>
      <c r="B181" s="394"/>
      <c r="C181" s="395"/>
      <c r="D181" s="323"/>
      <c r="E181" s="323"/>
      <c r="F181" s="380"/>
      <c r="G181" s="400"/>
      <c r="H181" s="392"/>
    </row>
    <row r="182" spans="1:10" x14ac:dyDescent="0.25">
      <c r="A182" s="389"/>
      <c r="B182" s="390"/>
      <c r="C182" s="323"/>
      <c r="D182" s="323"/>
      <c r="E182" s="323"/>
      <c r="F182" s="380"/>
      <c r="G182" s="399"/>
      <c r="H182" s="392"/>
    </row>
    <row r="183" spans="1:10" x14ac:dyDescent="0.25">
      <c r="A183" s="393"/>
      <c r="B183" s="394"/>
      <c r="C183" s="395"/>
      <c r="D183" s="323"/>
      <c r="E183" s="323"/>
      <c r="F183" s="380"/>
      <c r="G183" s="391"/>
      <c r="H183" s="392"/>
      <c r="I183" s="101"/>
      <c r="J183" s="13"/>
    </row>
    <row r="184" spans="1:10" x14ac:dyDescent="0.25">
      <c r="A184" s="378"/>
      <c r="B184" s="379"/>
      <c r="C184" s="329"/>
      <c r="D184" s="330"/>
      <c r="E184" s="330"/>
      <c r="F184" s="380"/>
      <c r="G184" s="381"/>
      <c r="H184" s="382"/>
      <c r="I184" s="101"/>
      <c r="J184" s="13"/>
    </row>
    <row r="185" spans="1:10" x14ac:dyDescent="0.25">
      <c r="A185" s="378"/>
      <c r="B185" s="379"/>
      <c r="C185" s="329"/>
      <c r="D185" s="330"/>
      <c r="E185" s="330"/>
      <c r="F185" s="380"/>
      <c r="G185" s="381"/>
      <c r="H185" s="382"/>
      <c r="I185" s="101"/>
      <c r="J185" s="13"/>
    </row>
    <row r="186" spans="1:10" x14ac:dyDescent="0.25">
      <c r="A186" s="378"/>
      <c r="B186" s="379"/>
      <c r="C186" s="329"/>
      <c r="D186" s="330"/>
      <c r="E186" s="330"/>
      <c r="F186" s="380"/>
      <c r="G186" s="381"/>
      <c r="H186" s="382"/>
      <c r="I186" s="101"/>
      <c r="J186" s="13"/>
    </row>
    <row r="187" spans="1:10" x14ac:dyDescent="0.25">
      <c r="A187" s="378"/>
      <c r="B187" s="379"/>
      <c r="C187" s="329"/>
      <c r="D187" s="330"/>
      <c r="E187" s="330"/>
      <c r="F187" s="380"/>
      <c r="G187" s="381"/>
      <c r="H187" s="382"/>
      <c r="I187" s="101"/>
      <c r="J187" s="13"/>
    </row>
    <row r="188" spans="1:10" x14ac:dyDescent="0.25">
      <c r="A188" s="378"/>
      <c r="B188" s="379"/>
      <c r="C188" s="329"/>
      <c r="D188" s="330"/>
      <c r="E188" s="330"/>
      <c r="F188" s="380"/>
      <c r="G188" s="381"/>
      <c r="H188" s="382"/>
      <c r="I188" s="101"/>
      <c r="J188" s="13"/>
    </row>
    <row r="189" spans="1:10" x14ac:dyDescent="0.25">
      <c r="A189" s="378"/>
      <c r="B189" s="379"/>
      <c r="C189" s="329"/>
      <c r="D189" s="330"/>
      <c r="E189" s="330"/>
      <c r="F189" s="380"/>
      <c r="G189" s="381"/>
      <c r="H189" s="382"/>
      <c r="I189" s="64"/>
      <c r="J189" s="13"/>
    </row>
    <row r="190" spans="1:10" x14ac:dyDescent="0.25">
      <c r="A190" s="383"/>
      <c r="B190" s="384"/>
      <c r="C190" s="385"/>
      <c r="D190" s="386"/>
      <c r="E190" s="386"/>
      <c r="F190" s="380"/>
      <c r="G190" s="387"/>
      <c r="H190" s="388"/>
      <c r="I190" s="64"/>
      <c r="J190" s="13"/>
    </row>
    <row r="191" spans="1:10" x14ac:dyDescent="0.25">
      <c r="A191" s="383"/>
      <c r="B191" s="384"/>
      <c r="C191" s="385"/>
      <c r="D191" s="386"/>
      <c r="E191" s="386"/>
      <c r="F191" s="380"/>
      <c r="G191" s="387"/>
      <c r="H191" s="388"/>
    </row>
    <row r="192" spans="1:10" x14ac:dyDescent="0.25">
      <c r="A192" s="389"/>
      <c r="B192" s="390"/>
      <c r="C192" s="323"/>
      <c r="D192" s="323"/>
      <c r="E192" s="323"/>
      <c r="F192" s="380"/>
      <c r="G192" s="391"/>
      <c r="H192" s="392"/>
    </row>
    <row r="193" spans="1:10" x14ac:dyDescent="0.25">
      <c r="A193" s="393"/>
      <c r="B193" s="394"/>
      <c r="C193" s="395"/>
      <c r="D193" s="323"/>
      <c r="E193" s="323"/>
      <c r="F193" s="380"/>
      <c r="G193" s="396"/>
      <c r="H193" s="397"/>
    </row>
    <row r="194" spans="1:10" x14ac:dyDescent="0.25">
      <c r="A194" s="393"/>
      <c r="B194" s="394"/>
      <c r="C194" s="395"/>
      <c r="D194" s="323"/>
      <c r="E194" s="323"/>
      <c r="F194" s="380"/>
      <c r="G194" s="396"/>
      <c r="H194" s="397"/>
    </row>
    <row r="195" spans="1:10" x14ac:dyDescent="0.25">
      <c r="A195" s="393"/>
      <c r="B195" s="394"/>
      <c r="C195" s="395"/>
      <c r="D195" s="323"/>
      <c r="E195" s="323"/>
      <c r="F195" s="380"/>
      <c r="G195" s="398"/>
      <c r="H195" s="392"/>
    </row>
    <row r="196" spans="1:10" x14ac:dyDescent="0.25">
      <c r="A196" s="393"/>
      <c r="B196" s="394"/>
      <c r="C196" s="395"/>
      <c r="D196" s="323"/>
      <c r="E196" s="323"/>
      <c r="F196" s="380"/>
      <c r="G196" s="398"/>
      <c r="H196" s="392"/>
    </row>
    <row r="197" spans="1:10" x14ac:dyDescent="0.25">
      <c r="A197" s="393"/>
      <c r="B197" s="394"/>
      <c r="C197" s="395"/>
      <c r="D197" s="323"/>
      <c r="E197" s="323"/>
      <c r="F197" s="380"/>
      <c r="G197" s="398"/>
      <c r="H197" s="392"/>
    </row>
    <row r="198" spans="1:10" x14ac:dyDescent="0.25">
      <c r="A198" s="393"/>
      <c r="B198" s="394"/>
      <c r="C198" s="395"/>
      <c r="D198" s="323"/>
      <c r="E198" s="323"/>
      <c r="F198" s="380"/>
      <c r="G198" s="398"/>
      <c r="H198" s="392"/>
    </row>
    <row r="199" spans="1:10" x14ac:dyDescent="0.25">
      <c r="A199" s="389"/>
      <c r="B199" s="390"/>
      <c r="C199" s="323"/>
      <c r="D199" s="323"/>
      <c r="E199" s="323"/>
      <c r="F199" s="380"/>
      <c r="G199" s="399"/>
      <c r="H199" s="392"/>
    </row>
    <row r="200" spans="1:10" x14ac:dyDescent="0.25">
      <c r="A200" s="393"/>
      <c r="B200" s="394"/>
      <c r="C200" s="395"/>
      <c r="D200" s="395"/>
      <c r="E200" s="395"/>
      <c r="F200" s="380"/>
      <c r="G200" s="399"/>
      <c r="H200" s="392"/>
    </row>
    <row r="201" spans="1:10" x14ac:dyDescent="0.25">
      <c r="A201" s="393"/>
      <c r="B201" s="394"/>
      <c r="C201" s="395"/>
      <c r="D201" s="323"/>
      <c r="E201" s="323"/>
      <c r="F201" s="380"/>
      <c r="G201" s="400"/>
      <c r="H201" s="392"/>
    </row>
    <row r="202" spans="1:10" x14ac:dyDescent="0.25">
      <c r="A202" s="389"/>
      <c r="B202" s="390"/>
      <c r="C202" s="323"/>
      <c r="D202" s="323"/>
      <c r="E202" s="323"/>
      <c r="F202" s="380"/>
      <c r="G202" s="399"/>
      <c r="H202" s="392"/>
    </row>
    <row r="203" spans="1:10" x14ac:dyDescent="0.25">
      <c r="A203" s="393"/>
      <c r="B203" s="394"/>
      <c r="C203" s="395"/>
      <c r="D203" s="323"/>
      <c r="E203" s="323"/>
      <c r="F203" s="380"/>
      <c r="G203" s="391"/>
      <c r="H203" s="392"/>
      <c r="I203" s="101"/>
      <c r="J203" s="13"/>
    </row>
    <row r="204" spans="1:10" x14ac:dyDescent="0.25">
      <c r="A204" s="378"/>
      <c r="B204" s="379"/>
      <c r="C204" s="329"/>
      <c r="D204" s="330"/>
      <c r="E204" s="330"/>
      <c r="F204" s="380"/>
      <c r="G204" s="381"/>
      <c r="H204" s="382"/>
      <c r="I204" s="101"/>
      <c r="J204" s="13"/>
    </row>
    <row r="205" spans="1:10" x14ac:dyDescent="0.25">
      <c r="A205" s="378"/>
      <c r="B205" s="379"/>
      <c r="C205" s="329"/>
      <c r="D205" s="330"/>
      <c r="E205" s="330"/>
      <c r="F205" s="380"/>
      <c r="G205" s="381"/>
      <c r="H205" s="382"/>
      <c r="I205" s="101"/>
      <c r="J205" s="13"/>
    </row>
    <row r="206" spans="1:10" x14ac:dyDescent="0.25">
      <c r="A206" s="378"/>
      <c r="B206" s="379"/>
      <c r="C206" s="329"/>
      <c r="D206" s="330"/>
      <c r="E206" s="330"/>
      <c r="F206" s="380"/>
      <c r="G206" s="381"/>
      <c r="H206" s="382"/>
      <c r="I206" s="101"/>
      <c r="J206" s="13"/>
    </row>
    <row r="207" spans="1:10" x14ac:dyDescent="0.25">
      <c r="A207" s="378"/>
      <c r="B207" s="379"/>
      <c r="C207" s="329"/>
      <c r="D207" s="330"/>
      <c r="E207" s="330"/>
      <c r="F207" s="380"/>
      <c r="G207" s="381"/>
      <c r="H207" s="382"/>
      <c r="I207" s="101"/>
      <c r="J207" s="13"/>
    </row>
    <row r="208" spans="1:10" x14ac:dyDescent="0.25">
      <c r="A208" s="378"/>
      <c r="B208" s="379"/>
      <c r="C208" s="329"/>
      <c r="D208" s="330"/>
      <c r="E208" s="330"/>
      <c r="F208" s="380"/>
      <c r="G208" s="381"/>
      <c r="H208" s="382"/>
      <c r="I208" s="101"/>
      <c r="J208" s="13"/>
    </row>
    <row r="209" spans="1:10" x14ac:dyDescent="0.25">
      <c r="A209" s="378"/>
      <c r="B209" s="379"/>
      <c r="C209" s="329"/>
      <c r="D209" s="330"/>
      <c r="E209" s="330"/>
      <c r="F209" s="380"/>
      <c r="G209" s="381"/>
      <c r="H209" s="382"/>
      <c r="I209" s="64"/>
      <c r="J209" s="13"/>
    </row>
    <row r="210" spans="1:10" x14ac:dyDescent="0.25">
      <c r="A210" s="383"/>
      <c r="B210" s="384"/>
      <c r="C210" s="385"/>
      <c r="D210" s="386"/>
      <c r="E210" s="386"/>
      <c r="F210" s="380"/>
      <c r="G210" s="387"/>
      <c r="H210" s="388"/>
      <c r="I210" s="64"/>
      <c r="J210" s="13"/>
    </row>
    <row r="211" spans="1:10" x14ac:dyDescent="0.25">
      <c r="A211" s="383"/>
      <c r="B211" s="384"/>
      <c r="C211" s="385"/>
      <c r="D211" s="386"/>
      <c r="E211" s="386"/>
      <c r="F211" s="380"/>
      <c r="G211" s="387"/>
      <c r="H211" s="388"/>
    </row>
    <row r="212" spans="1:10" x14ac:dyDescent="0.25">
      <c r="A212" s="389"/>
      <c r="B212" s="390"/>
      <c r="C212" s="323"/>
      <c r="D212" s="323"/>
      <c r="E212" s="323"/>
      <c r="F212" s="380"/>
      <c r="G212" s="391"/>
      <c r="H212" s="392"/>
    </row>
    <row r="213" spans="1:10" x14ac:dyDescent="0.25">
      <c r="A213" s="393"/>
      <c r="B213" s="394"/>
      <c r="C213" s="395"/>
      <c r="D213" s="323"/>
      <c r="E213" s="323"/>
      <c r="F213" s="380"/>
      <c r="G213" s="396"/>
      <c r="H213" s="397"/>
    </row>
    <row r="214" spans="1:10" x14ac:dyDescent="0.25">
      <c r="A214" s="393"/>
      <c r="B214" s="394"/>
      <c r="C214" s="395"/>
      <c r="D214" s="323"/>
      <c r="E214" s="323"/>
      <c r="F214" s="380"/>
      <c r="G214" s="396"/>
      <c r="H214" s="397"/>
    </row>
    <row r="215" spans="1:10" x14ac:dyDescent="0.25">
      <c r="A215" s="393"/>
      <c r="B215" s="394"/>
      <c r="C215" s="395"/>
      <c r="D215" s="323"/>
      <c r="E215" s="323"/>
      <c r="F215" s="380"/>
      <c r="G215" s="398"/>
      <c r="H215" s="392"/>
    </row>
    <row r="216" spans="1:10" x14ac:dyDescent="0.25">
      <c r="A216" s="393"/>
      <c r="B216" s="394"/>
      <c r="C216" s="395"/>
      <c r="D216" s="323"/>
      <c r="E216" s="323"/>
      <c r="F216" s="380"/>
      <c r="G216" s="398"/>
      <c r="H216" s="392"/>
    </row>
    <row r="217" spans="1:10" x14ac:dyDescent="0.25">
      <c r="A217" s="393"/>
      <c r="B217" s="394"/>
      <c r="C217" s="395"/>
      <c r="D217" s="323"/>
      <c r="E217" s="323"/>
      <c r="F217" s="380"/>
      <c r="G217" s="398"/>
      <c r="H217" s="392"/>
    </row>
    <row r="218" spans="1:10" x14ac:dyDescent="0.25">
      <c r="A218" s="393"/>
      <c r="B218" s="394"/>
      <c r="C218" s="395"/>
      <c r="D218" s="323"/>
      <c r="E218" s="323"/>
      <c r="F218" s="380"/>
      <c r="G218" s="398"/>
      <c r="H218" s="392"/>
    </row>
    <row r="219" spans="1:10" x14ac:dyDescent="0.25">
      <c r="A219" s="389"/>
      <c r="B219" s="390"/>
      <c r="C219" s="323"/>
      <c r="D219" s="323"/>
      <c r="E219" s="323"/>
      <c r="F219" s="380"/>
      <c r="G219" s="399"/>
      <c r="H219" s="392"/>
    </row>
    <row r="220" spans="1:10" x14ac:dyDescent="0.25">
      <c r="A220" s="393"/>
      <c r="B220" s="394"/>
      <c r="C220" s="395"/>
      <c r="D220" s="395"/>
      <c r="E220" s="395"/>
      <c r="F220" s="380"/>
      <c r="G220" s="399"/>
      <c r="H220" s="392"/>
    </row>
    <row r="221" spans="1:10" x14ac:dyDescent="0.25">
      <c r="A221" s="393"/>
      <c r="B221" s="394"/>
      <c r="C221" s="395"/>
      <c r="D221" s="323"/>
      <c r="E221" s="323"/>
      <c r="F221" s="380"/>
      <c r="G221" s="400"/>
      <c r="H221" s="392"/>
    </row>
    <row r="222" spans="1:10" x14ac:dyDescent="0.25">
      <c r="A222" s="389"/>
      <c r="B222" s="390"/>
      <c r="C222" s="323"/>
      <c r="D222" s="323"/>
      <c r="E222" s="323"/>
      <c r="F222" s="380"/>
      <c r="G222" s="399"/>
      <c r="H222" s="392"/>
    </row>
    <row r="223" spans="1:10" x14ac:dyDescent="0.25">
      <c r="A223" s="393"/>
      <c r="B223" s="394"/>
      <c r="C223" s="395"/>
      <c r="D223" s="323"/>
      <c r="E223" s="323"/>
      <c r="F223" s="380"/>
      <c r="G223" s="391"/>
      <c r="H223" s="392"/>
      <c r="I223" s="101"/>
      <c r="J223" s="13"/>
    </row>
    <row r="224" spans="1:10" x14ac:dyDescent="0.25">
      <c r="A224" s="378"/>
      <c r="B224" s="379"/>
      <c r="C224" s="329"/>
      <c r="D224" s="330"/>
      <c r="E224" s="330"/>
      <c r="F224" s="380"/>
      <c r="G224" s="381"/>
      <c r="H224" s="382"/>
      <c r="I224" s="101"/>
      <c r="J224" s="13"/>
    </row>
    <row r="225" spans="1:10" x14ac:dyDescent="0.25">
      <c r="A225" s="378"/>
      <c r="B225" s="379"/>
      <c r="C225" s="329"/>
      <c r="D225" s="330"/>
      <c r="E225" s="330"/>
      <c r="F225" s="380"/>
      <c r="G225" s="381"/>
      <c r="H225" s="382"/>
      <c r="I225" s="101"/>
      <c r="J225" s="13"/>
    </row>
    <row r="226" spans="1:10" x14ac:dyDescent="0.25">
      <c r="A226" s="378"/>
      <c r="B226" s="379"/>
      <c r="C226" s="329"/>
      <c r="D226" s="330"/>
      <c r="E226" s="330"/>
      <c r="F226" s="380"/>
      <c r="G226" s="381"/>
      <c r="H226" s="382"/>
      <c r="I226" s="101"/>
      <c r="J226" s="13"/>
    </row>
    <row r="227" spans="1:10" x14ac:dyDescent="0.25">
      <c r="A227" s="378"/>
      <c r="B227" s="379"/>
      <c r="C227" s="329"/>
      <c r="D227" s="330"/>
      <c r="E227" s="330"/>
      <c r="F227" s="380"/>
      <c r="G227" s="381"/>
      <c r="H227" s="382"/>
      <c r="I227" s="101"/>
      <c r="J227" s="13"/>
    </row>
    <row r="228" spans="1:10" x14ac:dyDescent="0.25">
      <c r="A228" s="378"/>
      <c r="B228" s="379"/>
      <c r="C228" s="329"/>
      <c r="D228" s="330"/>
      <c r="E228" s="330"/>
      <c r="F228" s="380"/>
      <c r="G228" s="381"/>
      <c r="H228" s="382"/>
      <c r="I228" s="101"/>
      <c r="J228" s="13"/>
    </row>
    <row r="229" spans="1:10" x14ac:dyDescent="0.25">
      <c r="A229" s="378"/>
      <c r="B229" s="379"/>
      <c r="C229" s="329"/>
      <c r="D229" s="330"/>
      <c r="E229" s="330"/>
      <c r="F229" s="380"/>
      <c r="G229" s="381"/>
      <c r="H229" s="382"/>
      <c r="I229" s="64"/>
      <c r="J229" s="13"/>
    </row>
    <row r="230" spans="1:10" x14ac:dyDescent="0.25">
      <c r="A230" s="383"/>
      <c r="B230" s="384"/>
      <c r="C230" s="385"/>
      <c r="D230" s="386"/>
      <c r="E230" s="386"/>
      <c r="F230" s="380"/>
      <c r="G230" s="387"/>
      <c r="H230" s="388"/>
      <c r="I230" s="64"/>
      <c r="J230" s="13"/>
    </row>
    <row r="231" spans="1:10" x14ac:dyDescent="0.25">
      <c r="A231" s="383"/>
      <c r="B231" s="384"/>
      <c r="C231" s="385"/>
      <c r="D231" s="386"/>
      <c r="E231" s="386"/>
      <c r="F231" s="380"/>
      <c r="G231" s="387"/>
      <c r="H231" s="388"/>
    </row>
    <row r="232" spans="1:10" x14ac:dyDescent="0.25">
      <c r="A232" s="389"/>
      <c r="B232" s="390"/>
      <c r="C232" s="323"/>
      <c r="D232" s="323"/>
      <c r="E232" s="323"/>
      <c r="F232" s="380"/>
      <c r="G232" s="391"/>
      <c r="H232" s="392"/>
    </row>
    <row r="233" spans="1:10" x14ac:dyDescent="0.25">
      <c r="A233" s="393"/>
      <c r="B233" s="394"/>
      <c r="C233" s="395"/>
      <c r="D233" s="323"/>
      <c r="E233" s="323"/>
      <c r="F233" s="380"/>
      <c r="G233" s="396"/>
      <c r="H233" s="397"/>
    </row>
    <row r="234" spans="1:10" x14ac:dyDescent="0.25">
      <c r="A234" s="393"/>
      <c r="B234" s="394"/>
      <c r="C234" s="395"/>
      <c r="D234" s="323"/>
      <c r="E234" s="323"/>
      <c r="F234" s="380"/>
      <c r="G234" s="396"/>
      <c r="H234" s="397"/>
    </row>
    <row r="235" spans="1:10" x14ac:dyDescent="0.25">
      <c r="A235" s="393"/>
      <c r="B235" s="394"/>
      <c r="C235" s="395"/>
      <c r="D235" s="323"/>
      <c r="E235" s="323"/>
      <c r="F235" s="380"/>
      <c r="G235" s="398"/>
      <c r="H235" s="392"/>
    </row>
    <row r="236" spans="1:10" x14ac:dyDescent="0.25">
      <c r="A236" s="393"/>
      <c r="B236" s="394"/>
      <c r="C236" s="395"/>
      <c r="D236" s="323"/>
      <c r="E236" s="323"/>
      <c r="F236" s="380"/>
      <c r="G236" s="398"/>
      <c r="H236" s="392"/>
    </row>
    <row r="237" spans="1:10" x14ac:dyDescent="0.25">
      <c r="A237" s="393"/>
      <c r="B237" s="394"/>
      <c r="C237" s="395"/>
      <c r="D237" s="323"/>
      <c r="E237" s="323"/>
      <c r="F237" s="380"/>
      <c r="G237" s="398"/>
      <c r="H237" s="392"/>
    </row>
    <row r="238" spans="1:10" x14ac:dyDescent="0.25">
      <c r="A238" s="393"/>
      <c r="B238" s="394"/>
      <c r="C238" s="395"/>
      <c r="D238" s="323"/>
      <c r="E238" s="323"/>
      <c r="F238" s="380"/>
      <c r="G238" s="398"/>
      <c r="H238" s="392"/>
    </row>
    <row r="239" spans="1:10" x14ac:dyDescent="0.25">
      <c r="A239" s="389"/>
      <c r="B239" s="390"/>
      <c r="C239" s="323"/>
      <c r="D239" s="323"/>
      <c r="E239" s="323"/>
      <c r="F239" s="380"/>
      <c r="G239" s="399"/>
      <c r="H239" s="392"/>
    </row>
    <row r="240" spans="1:10" x14ac:dyDescent="0.25">
      <c r="A240" s="393"/>
      <c r="B240" s="394"/>
      <c r="C240" s="395"/>
      <c r="D240" s="395"/>
      <c r="E240" s="395"/>
      <c r="F240" s="380"/>
      <c r="G240" s="399"/>
      <c r="H240" s="392"/>
    </row>
    <row r="241" spans="1:10" x14ac:dyDescent="0.25">
      <c r="A241" s="393"/>
      <c r="B241" s="394"/>
      <c r="C241" s="395"/>
      <c r="D241" s="323"/>
      <c r="E241" s="323"/>
      <c r="F241" s="380"/>
      <c r="G241" s="400"/>
      <c r="H241" s="392"/>
    </row>
    <row r="242" spans="1:10" x14ac:dyDescent="0.25">
      <c r="A242" s="389"/>
      <c r="B242" s="390"/>
      <c r="C242" s="323"/>
      <c r="D242" s="323"/>
      <c r="E242" s="323"/>
      <c r="F242" s="380"/>
      <c r="G242" s="399"/>
      <c r="H242" s="392"/>
    </row>
    <row r="243" spans="1:10" x14ac:dyDescent="0.25">
      <c r="A243" s="393"/>
      <c r="B243" s="394"/>
      <c r="C243" s="395"/>
      <c r="D243" s="323"/>
      <c r="E243" s="323"/>
      <c r="F243" s="380"/>
      <c r="G243" s="391"/>
      <c r="H243" s="392"/>
      <c r="I243" s="101"/>
      <c r="J243" s="13"/>
    </row>
    <row r="244" spans="1:10" x14ac:dyDescent="0.25">
      <c r="A244" s="378"/>
      <c r="B244" s="379"/>
      <c r="C244" s="329"/>
      <c r="D244" s="330"/>
      <c r="E244" s="330"/>
      <c r="F244" s="380"/>
      <c r="G244" s="381"/>
      <c r="H244" s="382"/>
      <c r="I244" s="101"/>
      <c r="J244" s="13"/>
    </row>
    <row r="245" spans="1:10" x14ac:dyDescent="0.25">
      <c r="A245" s="378"/>
      <c r="B245" s="379"/>
      <c r="C245" s="329"/>
      <c r="D245" s="330"/>
      <c r="E245" s="330"/>
      <c r="F245" s="380"/>
      <c r="G245" s="381"/>
      <c r="H245" s="382"/>
      <c r="I245" s="101"/>
      <c r="J245" s="13"/>
    </row>
    <row r="246" spans="1:10" x14ac:dyDescent="0.25">
      <c r="A246" s="378"/>
      <c r="B246" s="379"/>
      <c r="C246" s="329"/>
      <c r="D246" s="330"/>
      <c r="E246" s="330"/>
      <c r="F246" s="380"/>
      <c r="G246" s="381"/>
      <c r="H246" s="382"/>
      <c r="I246" s="101"/>
      <c r="J246" s="13"/>
    </row>
    <row r="247" spans="1:10" x14ac:dyDescent="0.25">
      <c r="A247" s="378"/>
      <c r="B247" s="379"/>
      <c r="C247" s="329"/>
      <c r="D247" s="330"/>
      <c r="E247" s="330"/>
      <c r="F247" s="380"/>
      <c r="G247" s="381"/>
      <c r="H247" s="382"/>
      <c r="I247" s="101"/>
      <c r="J247" s="13"/>
    </row>
    <row r="248" spans="1:10" x14ac:dyDescent="0.25">
      <c r="A248" s="378"/>
      <c r="B248" s="379"/>
      <c r="C248" s="329"/>
      <c r="D248" s="330"/>
      <c r="E248" s="330"/>
      <c r="F248" s="380"/>
      <c r="G248" s="381"/>
      <c r="H248" s="382"/>
      <c r="I248" s="101"/>
      <c r="J248" s="13"/>
    </row>
    <row r="249" spans="1:10" x14ac:dyDescent="0.25">
      <c r="A249" s="378"/>
      <c r="B249" s="379"/>
      <c r="C249" s="329"/>
      <c r="D249" s="330"/>
      <c r="E249" s="330"/>
      <c r="F249" s="380"/>
      <c r="G249" s="381"/>
      <c r="H249" s="382"/>
      <c r="I249" s="64"/>
      <c r="J249" s="13"/>
    </row>
    <row r="250" spans="1:10" x14ac:dyDescent="0.25">
      <c r="A250" s="383"/>
      <c r="B250" s="384"/>
      <c r="C250" s="385"/>
      <c r="D250" s="386"/>
      <c r="E250" s="386"/>
      <c r="F250" s="380"/>
      <c r="G250" s="387"/>
      <c r="H250" s="388"/>
      <c r="I250" s="64"/>
      <c r="J250" s="13"/>
    </row>
    <row r="251" spans="1:10" x14ac:dyDescent="0.25">
      <c r="A251" s="383"/>
      <c r="B251" s="384"/>
      <c r="C251" s="385"/>
      <c r="D251" s="386"/>
      <c r="E251" s="386"/>
      <c r="F251" s="380"/>
      <c r="G251" s="387"/>
      <c r="H251" s="388"/>
    </row>
    <row r="252" spans="1:10" x14ac:dyDescent="0.25">
      <c r="A252" s="389"/>
      <c r="B252" s="390"/>
      <c r="C252" s="323"/>
      <c r="D252" s="323"/>
      <c r="E252" s="323"/>
      <c r="F252" s="380"/>
      <c r="G252" s="391"/>
      <c r="H252" s="392"/>
    </row>
    <row r="253" spans="1:10" x14ac:dyDescent="0.25">
      <c r="A253" s="393"/>
      <c r="B253" s="394"/>
      <c r="C253" s="395"/>
      <c r="D253" s="323"/>
      <c r="E253" s="323"/>
      <c r="F253" s="380"/>
      <c r="G253" s="396"/>
      <c r="H253" s="397"/>
    </row>
    <row r="254" spans="1:10" x14ac:dyDescent="0.25">
      <c r="A254" s="393"/>
      <c r="B254" s="394"/>
      <c r="C254" s="395"/>
      <c r="D254" s="323"/>
      <c r="E254" s="323"/>
      <c r="F254" s="380"/>
      <c r="G254" s="396"/>
      <c r="H254" s="397"/>
    </row>
    <row r="255" spans="1:10" x14ac:dyDescent="0.25">
      <c r="A255" s="393"/>
      <c r="B255" s="394"/>
      <c r="C255" s="395"/>
      <c r="D255" s="323"/>
      <c r="E255" s="323"/>
      <c r="F255" s="380"/>
      <c r="G255" s="398"/>
      <c r="H255" s="392"/>
    </row>
    <row r="256" spans="1:10" x14ac:dyDescent="0.25">
      <c r="A256" s="393"/>
      <c r="B256" s="394"/>
      <c r="C256" s="395"/>
      <c r="D256" s="323"/>
      <c r="E256" s="323"/>
      <c r="F256" s="380"/>
      <c r="G256" s="398"/>
      <c r="H256" s="392"/>
    </row>
    <row r="257" spans="1:10" x14ac:dyDescent="0.25">
      <c r="A257" s="393"/>
      <c r="B257" s="394"/>
      <c r="C257" s="395"/>
      <c r="D257" s="323"/>
      <c r="E257" s="323"/>
      <c r="F257" s="380"/>
      <c r="G257" s="398"/>
      <c r="H257" s="392"/>
    </row>
    <row r="258" spans="1:10" x14ac:dyDescent="0.25">
      <c r="A258" s="393"/>
      <c r="B258" s="394"/>
      <c r="C258" s="395"/>
      <c r="D258" s="323"/>
      <c r="E258" s="323"/>
      <c r="F258" s="380"/>
      <c r="G258" s="398"/>
      <c r="H258" s="392"/>
    </row>
    <row r="259" spans="1:10" x14ac:dyDescent="0.25">
      <c r="A259" s="389"/>
      <c r="B259" s="390"/>
      <c r="C259" s="323"/>
      <c r="D259" s="323"/>
      <c r="E259" s="323"/>
      <c r="F259" s="380"/>
      <c r="G259" s="399"/>
      <c r="H259" s="392"/>
    </row>
    <row r="260" spans="1:10" x14ac:dyDescent="0.25">
      <c r="A260" s="393"/>
      <c r="B260" s="394"/>
      <c r="C260" s="395"/>
      <c r="D260" s="395"/>
      <c r="E260" s="395"/>
      <c r="F260" s="380"/>
      <c r="G260" s="399"/>
      <c r="H260" s="392"/>
    </row>
    <row r="261" spans="1:10" x14ac:dyDescent="0.25">
      <c r="A261" s="393"/>
      <c r="B261" s="394"/>
      <c r="C261" s="395"/>
      <c r="D261" s="323"/>
      <c r="E261" s="323"/>
      <c r="F261" s="380"/>
      <c r="G261" s="400"/>
      <c r="H261" s="392"/>
    </row>
    <row r="262" spans="1:10" x14ac:dyDescent="0.25">
      <c r="A262" s="389"/>
      <c r="B262" s="390"/>
      <c r="C262" s="323"/>
      <c r="D262" s="323"/>
      <c r="E262" s="323"/>
      <c r="F262" s="380"/>
      <c r="G262" s="399"/>
      <c r="H262" s="392"/>
    </row>
    <row r="263" spans="1:10" x14ac:dyDescent="0.25">
      <c r="A263" s="393"/>
      <c r="B263" s="394"/>
      <c r="C263" s="395"/>
      <c r="D263" s="323"/>
      <c r="E263" s="323"/>
      <c r="F263" s="380"/>
      <c r="G263" s="391"/>
      <c r="H263" s="392"/>
      <c r="I263" s="101"/>
      <c r="J263" s="13"/>
    </row>
    <row r="264" spans="1:10" x14ac:dyDescent="0.25">
      <c r="A264" s="378"/>
      <c r="B264" s="379"/>
      <c r="C264" s="329"/>
      <c r="D264" s="330"/>
      <c r="E264" s="330"/>
      <c r="F264" s="380"/>
      <c r="G264" s="381"/>
      <c r="H264" s="382"/>
      <c r="I264" s="101"/>
      <c r="J264" s="13"/>
    </row>
    <row r="265" spans="1:10" x14ac:dyDescent="0.25">
      <c r="A265" s="378"/>
      <c r="B265" s="379"/>
      <c r="C265" s="329"/>
      <c r="D265" s="330"/>
      <c r="E265" s="330"/>
      <c r="F265" s="380"/>
      <c r="G265" s="381"/>
      <c r="H265" s="382"/>
      <c r="I265" s="101"/>
      <c r="J265" s="13"/>
    </row>
    <row r="266" spans="1:10" x14ac:dyDescent="0.25">
      <c r="A266" s="378"/>
      <c r="B266" s="379"/>
      <c r="C266" s="329"/>
      <c r="D266" s="330"/>
      <c r="E266" s="330"/>
      <c r="F266" s="380"/>
      <c r="G266" s="381"/>
      <c r="H266" s="382"/>
      <c r="I266" s="101"/>
      <c r="J266" s="13"/>
    </row>
    <row r="267" spans="1:10" x14ac:dyDescent="0.25">
      <c r="A267" s="378"/>
      <c r="B267" s="379"/>
      <c r="C267" s="329"/>
      <c r="D267" s="330"/>
      <c r="E267" s="330"/>
      <c r="F267" s="380"/>
      <c r="G267" s="381"/>
      <c r="H267" s="382"/>
      <c r="I267" s="101"/>
      <c r="J267" s="13"/>
    </row>
    <row r="268" spans="1:10" x14ac:dyDescent="0.25">
      <c r="A268" s="378"/>
      <c r="B268" s="379"/>
      <c r="C268" s="329"/>
      <c r="D268" s="330"/>
      <c r="E268" s="330"/>
      <c r="F268" s="380"/>
      <c r="G268" s="381"/>
      <c r="H268" s="382"/>
      <c r="I268" s="101"/>
      <c r="J268" s="13"/>
    </row>
    <row r="269" spans="1:10" x14ac:dyDescent="0.25">
      <c r="A269" s="378"/>
      <c r="B269" s="379"/>
      <c r="C269" s="329"/>
      <c r="D269" s="330"/>
      <c r="E269" s="330"/>
      <c r="F269" s="380"/>
      <c r="G269" s="381"/>
      <c r="H269" s="382"/>
      <c r="I269" s="64"/>
      <c r="J269" s="13"/>
    </row>
    <row r="270" spans="1:10" x14ac:dyDescent="0.25">
      <c r="A270" s="383"/>
      <c r="B270" s="384"/>
      <c r="C270" s="385"/>
      <c r="D270" s="386"/>
      <c r="E270" s="386"/>
      <c r="F270" s="380"/>
      <c r="G270" s="387"/>
      <c r="H270" s="388"/>
      <c r="I270" s="64"/>
      <c r="J270" s="13"/>
    </row>
    <row r="271" spans="1:10" x14ac:dyDescent="0.25">
      <c r="A271" s="383"/>
      <c r="B271" s="384"/>
      <c r="C271" s="385"/>
      <c r="D271" s="386"/>
      <c r="E271" s="386"/>
      <c r="F271" s="380"/>
      <c r="G271" s="387"/>
      <c r="H271" s="388"/>
    </row>
    <row r="272" spans="1:10" x14ac:dyDescent="0.25">
      <c r="A272" s="389"/>
      <c r="B272" s="390"/>
      <c r="C272" s="323"/>
      <c r="D272" s="323"/>
      <c r="E272" s="323"/>
      <c r="F272" s="380"/>
      <c r="G272" s="391"/>
      <c r="H272" s="392"/>
    </row>
    <row r="273" spans="1:10" x14ac:dyDescent="0.25">
      <c r="A273" s="393"/>
      <c r="B273" s="394"/>
      <c r="C273" s="395"/>
      <c r="D273" s="323"/>
      <c r="E273" s="323"/>
      <c r="F273" s="380"/>
      <c r="G273" s="396"/>
      <c r="H273" s="397"/>
    </row>
    <row r="274" spans="1:10" x14ac:dyDescent="0.25">
      <c r="A274" s="393"/>
      <c r="B274" s="394"/>
      <c r="C274" s="395"/>
      <c r="D274" s="323"/>
      <c r="E274" s="323"/>
      <c r="F274" s="380"/>
      <c r="G274" s="396"/>
      <c r="H274" s="397"/>
    </row>
    <row r="275" spans="1:10" x14ac:dyDescent="0.25">
      <c r="A275" s="393"/>
      <c r="B275" s="394"/>
      <c r="C275" s="395"/>
      <c r="D275" s="323"/>
      <c r="E275" s="323"/>
      <c r="F275" s="380"/>
      <c r="G275" s="398"/>
      <c r="H275" s="392"/>
    </row>
    <row r="276" spans="1:10" x14ac:dyDescent="0.25">
      <c r="A276" s="393"/>
      <c r="B276" s="394"/>
      <c r="C276" s="395"/>
      <c r="D276" s="323"/>
      <c r="E276" s="323"/>
      <c r="F276" s="380"/>
      <c r="G276" s="398"/>
      <c r="H276" s="392"/>
    </row>
    <row r="277" spans="1:10" x14ac:dyDescent="0.25">
      <c r="A277" s="393"/>
      <c r="B277" s="394"/>
      <c r="C277" s="395"/>
      <c r="D277" s="323"/>
      <c r="E277" s="323"/>
      <c r="F277" s="380"/>
      <c r="G277" s="398"/>
      <c r="H277" s="392"/>
    </row>
    <row r="278" spans="1:10" x14ac:dyDescent="0.25">
      <c r="A278" s="393"/>
      <c r="B278" s="394"/>
      <c r="C278" s="395"/>
      <c r="D278" s="323"/>
      <c r="E278" s="323"/>
      <c r="F278" s="380"/>
      <c r="G278" s="398"/>
      <c r="H278" s="392"/>
    </row>
    <row r="279" spans="1:10" x14ac:dyDescent="0.25">
      <c r="A279" s="389"/>
      <c r="B279" s="390"/>
      <c r="C279" s="323"/>
      <c r="D279" s="323"/>
      <c r="E279" s="323"/>
      <c r="F279" s="380"/>
      <c r="G279" s="399"/>
      <c r="H279" s="392"/>
    </row>
    <row r="280" spans="1:10" x14ac:dyDescent="0.25">
      <c r="A280" s="393"/>
      <c r="B280" s="394"/>
      <c r="C280" s="395"/>
      <c r="D280" s="395"/>
      <c r="E280" s="395"/>
      <c r="F280" s="380"/>
      <c r="G280" s="399"/>
      <c r="H280" s="392"/>
    </row>
    <row r="281" spans="1:10" x14ac:dyDescent="0.25">
      <c r="A281" s="393"/>
      <c r="B281" s="394"/>
      <c r="C281" s="395"/>
      <c r="D281" s="323"/>
      <c r="E281" s="323"/>
      <c r="F281" s="380"/>
      <c r="G281" s="400"/>
      <c r="H281" s="392"/>
    </row>
    <row r="282" spans="1:10" x14ac:dyDescent="0.25">
      <c r="A282" s="389"/>
      <c r="B282" s="390"/>
      <c r="C282" s="323"/>
      <c r="D282" s="323"/>
      <c r="E282" s="323"/>
      <c r="F282" s="380"/>
      <c r="G282" s="399"/>
      <c r="H282" s="392"/>
    </row>
    <row r="283" spans="1:10" x14ac:dyDescent="0.25">
      <c r="A283" s="393"/>
      <c r="B283" s="394"/>
      <c r="C283" s="395"/>
      <c r="D283" s="323"/>
      <c r="E283" s="323"/>
      <c r="F283" s="380"/>
      <c r="G283" s="391"/>
      <c r="H283" s="392"/>
      <c r="I283" s="101"/>
      <c r="J283" s="13"/>
    </row>
    <row r="284" spans="1:10" x14ac:dyDescent="0.25">
      <c r="A284" s="378"/>
      <c r="B284" s="379"/>
      <c r="C284" s="329"/>
      <c r="D284" s="330"/>
      <c r="E284" s="330"/>
      <c r="F284" s="380"/>
      <c r="G284" s="381"/>
      <c r="H284" s="382"/>
      <c r="I284" s="101"/>
      <c r="J284" s="13"/>
    </row>
    <row r="285" spans="1:10" x14ac:dyDescent="0.25">
      <c r="A285" s="378"/>
      <c r="B285" s="379"/>
      <c r="C285" s="329"/>
      <c r="D285" s="330"/>
      <c r="E285" s="330"/>
      <c r="F285" s="380"/>
      <c r="G285" s="381"/>
      <c r="H285" s="382"/>
      <c r="I285" s="101"/>
      <c r="J285" s="13"/>
    </row>
    <row r="286" spans="1:10" x14ac:dyDescent="0.25">
      <c r="A286" s="378"/>
      <c r="B286" s="379"/>
      <c r="C286" s="329"/>
      <c r="D286" s="330"/>
      <c r="E286" s="330"/>
      <c r="F286" s="380"/>
      <c r="G286" s="381"/>
      <c r="H286" s="382"/>
      <c r="I286" s="101"/>
      <c r="J286" s="13"/>
    </row>
    <row r="287" spans="1:10" x14ac:dyDescent="0.25">
      <c r="A287" s="378"/>
      <c r="B287" s="379"/>
      <c r="C287" s="329"/>
      <c r="D287" s="330"/>
      <c r="E287" s="330"/>
      <c r="F287" s="380"/>
      <c r="G287" s="381"/>
      <c r="H287" s="382"/>
      <c r="I287" s="101"/>
      <c r="J287" s="13"/>
    </row>
    <row r="288" spans="1:10" x14ac:dyDescent="0.25">
      <c r="A288" s="378"/>
      <c r="B288" s="379"/>
      <c r="C288" s="329"/>
      <c r="D288" s="330"/>
      <c r="E288" s="330"/>
      <c r="F288" s="380"/>
      <c r="G288" s="381"/>
      <c r="H288" s="382"/>
      <c r="I288" s="101"/>
      <c r="J288" s="13"/>
    </row>
    <row r="289" spans="1:10" x14ac:dyDescent="0.25">
      <c r="A289" s="378"/>
      <c r="B289" s="379"/>
      <c r="C289" s="329"/>
      <c r="D289" s="330"/>
      <c r="E289" s="330"/>
      <c r="F289" s="380"/>
      <c r="G289" s="381"/>
      <c r="H289" s="382"/>
      <c r="I289" s="64"/>
      <c r="J289" s="13"/>
    </row>
    <row r="290" spans="1:10" x14ac:dyDescent="0.25">
      <c r="A290" s="383"/>
      <c r="B290" s="384"/>
      <c r="C290" s="385"/>
      <c r="D290" s="386"/>
      <c r="E290" s="386"/>
      <c r="F290" s="380"/>
      <c r="G290" s="387"/>
      <c r="H290" s="388"/>
      <c r="I290" s="64"/>
      <c r="J290" s="13"/>
    </row>
    <row r="291" spans="1:10" x14ac:dyDescent="0.25">
      <c r="A291" s="383"/>
      <c r="B291" s="384"/>
      <c r="C291" s="385"/>
      <c r="D291" s="386"/>
      <c r="E291" s="386"/>
      <c r="F291" s="380"/>
      <c r="G291" s="387"/>
      <c r="H291" s="388"/>
    </row>
    <row r="292" spans="1:10" x14ac:dyDescent="0.25">
      <c r="A292" s="389"/>
      <c r="B292" s="390"/>
      <c r="C292" s="323"/>
      <c r="D292" s="323"/>
      <c r="E292" s="323"/>
      <c r="F292" s="380"/>
      <c r="G292" s="391"/>
      <c r="H292" s="392"/>
    </row>
    <row r="293" spans="1:10" x14ac:dyDescent="0.25">
      <c r="A293" s="393"/>
      <c r="B293" s="394"/>
      <c r="C293" s="395"/>
      <c r="D293" s="323"/>
      <c r="E293" s="323"/>
      <c r="F293" s="380"/>
      <c r="G293" s="396"/>
      <c r="H293" s="397"/>
    </row>
    <row r="294" spans="1:10" x14ac:dyDescent="0.25">
      <c r="A294" s="393"/>
      <c r="B294" s="394"/>
      <c r="C294" s="395"/>
      <c r="D294" s="323"/>
      <c r="E294" s="323"/>
      <c r="F294" s="380"/>
      <c r="G294" s="396"/>
      <c r="H294" s="397"/>
    </row>
    <row r="295" spans="1:10" x14ac:dyDescent="0.25">
      <c r="A295" s="393"/>
      <c r="B295" s="394"/>
      <c r="C295" s="395"/>
      <c r="D295" s="323"/>
      <c r="E295" s="323"/>
      <c r="F295" s="380"/>
      <c r="G295" s="398"/>
      <c r="H295" s="392"/>
    </row>
    <row r="296" spans="1:10" x14ac:dyDescent="0.25">
      <c r="A296" s="393"/>
      <c r="B296" s="394"/>
      <c r="C296" s="395"/>
      <c r="D296" s="323"/>
      <c r="E296" s="323"/>
      <c r="F296" s="380"/>
      <c r="G296" s="398"/>
      <c r="H296" s="392"/>
    </row>
    <row r="297" spans="1:10" x14ac:dyDescent="0.25">
      <c r="A297" s="393"/>
      <c r="B297" s="394"/>
      <c r="C297" s="395"/>
      <c r="D297" s="323"/>
      <c r="E297" s="323"/>
      <c r="F297" s="380"/>
      <c r="G297" s="398"/>
      <c r="H297" s="392"/>
    </row>
    <row r="298" spans="1:10" x14ac:dyDescent="0.25">
      <c r="A298" s="393"/>
      <c r="B298" s="394"/>
      <c r="C298" s="395"/>
      <c r="D298" s="323"/>
      <c r="E298" s="323"/>
      <c r="F298" s="380"/>
      <c r="G298" s="398"/>
      <c r="H298" s="392"/>
    </row>
    <row r="299" spans="1:10" x14ac:dyDescent="0.25">
      <c r="A299" s="389"/>
      <c r="B299" s="390"/>
      <c r="C299" s="323"/>
      <c r="D299" s="323"/>
      <c r="E299" s="323"/>
      <c r="F299" s="380"/>
      <c r="G299" s="399"/>
      <c r="H299" s="392"/>
    </row>
    <row r="300" spans="1:10" x14ac:dyDescent="0.25">
      <c r="A300" s="393"/>
      <c r="B300" s="394"/>
      <c r="C300" s="395"/>
      <c r="D300" s="395"/>
      <c r="E300" s="395"/>
      <c r="F300" s="380"/>
      <c r="G300" s="399"/>
      <c r="H300" s="392"/>
    </row>
    <row r="301" spans="1:10" x14ac:dyDescent="0.25">
      <c r="A301" s="393"/>
      <c r="B301" s="394"/>
      <c r="C301" s="395"/>
      <c r="D301" s="323"/>
      <c r="E301" s="323"/>
      <c r="F301" s="380"/>
      <c r="G301" s="400"/>
      <c r="H301" s="392"/>
    </row>
    <row r="302" spans="1:10" x14ac:dyDescent="0.25">
      <c r="A302" s="389"/>
      <c r="B302" s="390"/>
      <c r="C302" s="323"/>
      <c r="D302" s="323"/>
      <c r="E302" s="323"/>
      <c r="F302" s="380"/>
      <c r="G302" s="399"/>
      <c r="H302" s="392"/>
    </row>
    <row r="303" spans="1:10" x14ac:dyDescent="0.25">
      <c r="A303" s="389"/>
      <c r="B303" s="390"/>
      <c r="C303" s="323"/>
      <c r="D303" s="323"/>
      <c r="E303" s="323"/>
      <c r="F303" s="380"/>
      <c r="G303" s="399"/>
      <c r="H303" s="392"/>
    </row>
    <row r="304" spans="1:10" x14ac:dyDescent="0.25">
      <c r="A304" s="389"/>
      <c r="B304" s="390"/>
      <c r="C304" s="323"/>
      <c r="D304" s="323"/>
      <c r="E304" s="323"/>
      <c r="F304" s="380"/>
      <c r="G304" s="399"/>
      <c r="H304" s="392"/>
    </row>
    <row r="305" spans="1:8" x14ac:dyDescent="0.25">
      <c r="A305" s="389"/>
      <c r="B305" s="390"/>
      <c r="C305" s="323"/>
      <c r="D305" s="323"/>
      <c r="E305" s="323"/>
      <c r="F305" s="380"/>
      <c r="G305" s="399"/>
      <c r="H305" s="392"/>
    </row>
    <row r="306" spans="1:8" x14ac:dyDescent="0.25">
      <c r="A306" s="389"/>
      <c r="B306" s="390"/>
      <c r="C306" s="323"/>
      <c r="D306" s="323"/>
      <c r="E306" s="323"/>
      <c r="F306" s="380"/>
      <c r="G306" s="399"/>
      <c r="H306" s="392"/>
    </row>
    <row r="307" spans="1:8" x14ac:dyDescent="0.25">
      <c r="A307" s="389"/>
      <c r="B307" s="390"/>
      <c r="C307" s="323"/>
      <c r="D307" s="323"/>
      <c r="E307" s="323"/>
      <c r="F307" s="380"/>
      <c r="G307" s="399"/>
      <c r="H307" s="392"/>
    </row>
    <row r="308" spans="1:8" x14ac:dyDescent="0.25">
      <c r="A308" s="389"/>
      <c r="B308" s="390"/>
      <c r="C308" s="323"/>
      <c r="D308" s="323"/>
      <c r="E308" s="323"/>
      <c r="F308" s="380"/>
      <c r="G308" s="399"/>
      <c r="H308" s="392"/>
    </row>
    <row r="309" spans="1:8" x14ac:dyDescent="0.25">
      <c r="A309" s="389"/>
      <c r="B309" s="390"/>
      <c r="C309" s="323"/>
      <c r="D309" s="323"/>
      <c r="E309" s="323"/>
      <c r="F309" s="380"/>
      <c r="G309" s="399"/>
      <c r="H309" s="392"/>
    </row>
    <row r="310" spans="1:8" x14ac:dyDescent="0.25">
      <c r="A310" s="389"/>
      <c r="B310" s="390"/>
      <c r="C310" s="323"/>
      <c r="D310" s="323"/>
      <c r="E310" s="323"/>
      <c r="F310" s="380"/>
      <c r="G310" s="399"/>
      <c r="H310" s="392"/>
    </row>
    <row r="311" spans="1:8" x14ac:dyDescent="0.25">
      <c r="A311" s="389"/>
      <c r="B311" s="390"/>
      <c r="C311" s="323"/>
      <c r="D311" s="323"/>
      <c r="E311" s="323"/>
      <c r="F311" s="380"/>
      <c r="G311" s="399"/>
      <c r="H311" s="392"/>
    </row>
    <row r="312" spans="1:8" x14ac:dyDescent="0.25">
      <c r="A312" s="389"/>
      <c r="B312" s="390"/>
      <c r="C312" s="323"/>
      <c r="D312" s="323"/>
      <c r="E312" s="323"/>
      <c r="F312" s="380"/>
      <c r="G312" s="399"/>
      <c r="H312" s="392"/>
    </row>
    <row r="313" spans="1:8" x14ac:dyDescent="0.25">
      <c r="A313" s="389"/>
      <c r="B313" s="390"/>
      <c r="C313" s="323"/>
      <c r="D313" s="323"/>
      <c r="E313" s="323"/>
      <c r="F313" s="380"/>
      <c r="G313" s="399"/>
      <c r="H313" s="392"/>
    </row>
    <row r="314" spans="1:8" x14ac:dyDescent="0.25">
      <c r="A314" s="389"/>
      <c r="B314" s="390"/>
      <c r="C314" s="323"/>
      <c r="D314" s="323"/>
      <c r="E314" s="323"/>
      <c r="F314" s="380"/>
      <c r="G314" s="399"/>
      <c r="H314" s="392"/>
    </row>
    <row r="315" spans="1:8" x14ac:dyDescent="0.25">
      <c r="A315" s="389"/>
      <c r="B315" s="390"/>
      <c r="C315" s="323"/>
      <c r="D315" s="323"/>
      <c r="E315" s="323"/>
      <c r="F315" s="380"/>
      <c r="G315" s="399"/>
      <c r="H315" s="392"/>
    </row>
    <row r="316" spans="1:8" x14ac:dyDescent="0.25">
      <c r="A316" s="389"/>
      <c r="B316" s="390"/>
      <c r="C316" s="323"/>
      <c r="D316" s="323"/>
      <c r="E316" s="323"/>
      <c r="F316" s="380"/>
      <c r="G316" s="399"/>
      <c r="H316" s="392"/>
    </row>
    <row r="317" spans="1:8" x14ac:dyDescent="0.25">
      <c r="A317" s="389"/>
      <c r="B317" s="390"/>
      <c r="C317" s="323"/>
      <c r="D317" s="323"/>
      <c r="E317" s="323"/>
      <c r="F317" s="380"/>
      <c r="G317" s="399"/>
      <c r="H317" s="392"/>
    </row>
    <row r="318" spans="1:8" x14ac:dyDescent="0.25">
      <c r="F318" s="401"/>
    </row>
    <row r="319" spans="1:8" x14ac:dyDescent="0.25">
      <c r="F319" s="401"/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3"/>
    <pageSetUpPr fitToPage="1"/>
  </sheetPr>
  <dimension ref="A1:U60"/>
  <sheetViews>
    <sheetView topLeftCell="A43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1303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24" t="s">
        <v>324</v>
      </c>
      <c r="B5" s="9"/>
      <c r="C5" s="6">
        <v>6</v>
      </c>
      <c r="D5" s="414">
        <v>9262</v>
      </c>
      <c r="E5" s="24">
        <v>6</v>
      </c>
      <c r="F5" s="414">
        <v>10155</v>
      </c>
      <c r="G5" s="24">
        <f t="shared" ref="G5:G19" si="0">E5-C5</f>
        <v>0</v>
      </c>
      <c r="H5" s="414">
        <f t="shared" ref="H5:H19" si="1">F5-D5</f>
        <v>893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9" si="2">SUM(I5:T5)</f>
        <v>0</v>
      </c>
    </row>
    <row r="6" spans="1:21" ht="14.45" customHeight="1" x14ac:dyDescent="0.25">
      <c r="A6" s="9" t="s">
        <v>24</v>
      </c>
      <c r="B6" s="6" t="s">
        <v>60</v>
      </c>
      <c r="C6" s="24">
        <v>7</v>
      </c>
      <c r="D6" s="414">
        <v>6521</v>
      </c>
      <c r="E6" s="24">
        <v>7</v>
      </c>
      <c r="F6" s="414">
        <v>6705</v>
      </c>
      <c r="G6" s="24">
        <f t="shared" si="0"/>
        <v>0</v>
      </c>
      <c r="H6" s="414">
        <f t="shared" si="1"/>
        <v>184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2"/>
        <v>0</v>
      </c>
    </row>
    <row r="7" spans="1:21" ht="14.45" customHeight="1" x14ac:dyDescent="0.25">
      <c r="A7" s="9" t="s">
        <v>22</v>
      </c>
      <c r="B7" s="6"/>
      <c r="C7" s="6">
        <v>1</v>
      </c>
      <c r="D7" s="414">
        <v>2415</v>
      </c>
      <c r="E7" s="24">
        <v>1</v>
      </c>
      <c r="F7" s="414">
        <v>2485</v>
      </c>
      <c r="G7" s="24">
        <f t="shared" si="0"/>
        <v>0</v>
      </c>
      <c r="H7" s="414">
        <f t="shared" si="1"/>
        <v>70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2"/>
        <v>0</v>
      </c>
    </row>
    <row r="8" spans="1:21" ht="14.45" customHeight="1" x14ac:dyDescent="0.25">
      <c r="A8" s="9" t="s">
        <v>169</v>
      </c>
      <c r="B8" s="6" t="s">
        <v>60</v>
      </c>
      <c r="C8" s="24">
        <v>3</v>
      </c>
      <c r="D8" s="414">
        <v>5250</v>
      </c>
      <c r="E8" s="24">
        <v>3</v>
      </c>
      <c r="F8" s="414">
        <v>5400</v>
      </c>
      <c r="G8" s="24">
        <f t="shared" si="0"/>
        <v>0</v>
      </c>
      <c r="H8" s="414">
        <f t="shared" si="1"/>
        <v>150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2"/>
        <v>0</v>
      </c>
    </row>
    <row r="9" spans="1:21" ht="14.45" customHeight="1" x14ac:dyDescent="0.25">
      <c r="A9" s="9" t="s">
        <v>247</v>
      </c>
      <c r="B9" s="9" t="s">
        <v>60</v>
      </c>
      <c r="C9" s="9">
        <v>8</v>
      </c>
      <c r="D9" s="414">
        <v>14081</v>
      </c>
      <c r="E9" s="24">
        <v>8</v>
      </c>
      <c r="F9" s="414">
        <v>12155</v>
      </c>
      <c r="G9" s="24">
        <f t="shared" si="0"/>
        <v>0</v>
      </c>
      <c r="H9" s="414">
        <f t="shared" si="1"/>
        <v>-1926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2"/>
        <v>0</v>
      </c>
    </row>
    <row r="10" spans="1:21" ht="14.45" customHeight="1" x14ac:dyDescent="0.25">
      <c r="A10" s="9" t="s">
        <v>313</v>
      </c>
      <c r="B10" s="9"/>
      <c r="C10" s="9">
        <v>7</v>
      </c>
      <c r="D10" s="414">
        <v>8624</v>
      </c>
      <c r="E10" s="24">
        <v>7</v>
      </c>
      <c r="F10" s="414">
        <v>8316</v>
      </c>
      <c r="G10" s="24">
        <f t="shared" si="0"/>
        <v>0</v>
      </c>
      <c r="H10" s="414">
        <f t="shared" si="1"/>
        <v>-308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2"/>
        <v>0</v>
      </c>
    </row>
    <row r="11" spans="1:21" ht="14.45" customHeight="1" x14ac:dyDescent="0.25">
      <c r="A11" s="6" t="s">
        <v>202</v>
      </c>
      <c r="B11" s="6"/>
      <c r="C11" s="24">
        <v>8</v>
      </c>
      <c r="D11" s="414">
        <v>10962</v>
      </c>
      <c r="E11" s="24">
        <v>7</v>
      </c>
      <c r="F11" s="414">
        <v>9824</v>
      </c>
      <c r="G11" s="24">
        <f t="shared" si="0"/>
        <v>-1</v>
      </c>
      <c r="H11" s="414">
        <f t="shared" si="1"/>
        <v>-1138</v>
      </c>
      <c r="I11" s="24"/>
      <c r="J11" s="24"/>
      <c r="K11" s="24"/>
      <c r="L11" s="24"/>
      <c r="M11" s="24"/>
      <c r="N11" s="24"/>
      <c r="O11" s="24"/>
      <c r="P11" s="24">
        <v>-1</v>
      </c>
      <c r="Q11" s="24"/>
      <c r="R11" s="24"/>
      <c r="S11" s="24"/>
      <c r="T11" s="24"/>
      <c r="U11" s="24">
        <f t="shared" si="2"/>
        <v>-1</v>
      </c>
    </row>
    <row r="12" spans="1:21" ht="14.45" customHeight="1" x14ac:dyDescent="0.25">
      <c r="A12" s="6" t="s">
        <v>196</v>
      </c>
      <c r="B12" s="6" t="s">
        <v>60</v>
      </c>
      <c r="C12" s="24">
        <v>6</v>
      </c>
      <c r="D12" s="414">
        <f>8295</f>
        <v>8295</v>
      </c>
      <c r="E12" s="24">
        <v>5</v>
      </c>
      <c r="F12" s="414">
        <v>8210</v>
      </c>
      <c r="G12" s="24">
        <f t="shared" si="0"/>
        <v>-1</v>
      </c>
      <c r="H12" s="414">
        <f t="shared" si="1"/>
        <v>-85</v>
      </c>
      <c r="I12" s="24"/>
      <c r="J12" s="24"/>
      <c r="K12" s="24"/>
      <c r="L12" s="24"/>
      <c r="M12" s="24"/>
      <c r="N12" s="24">
        <v>-1</v>
      </c>
      <c r="O12" s="24"/>
      <c r="P12" s="24"/>
      <c r="Q12" s="24"/>
      <c r="R12" s="24"/>
      <c r="S12" s="24"/>
      <c r="T12" s="24"/>
      <c r="U12" s="24">
        <f t="shared" si="2"/>
        <v>-1</v>
      </c>
    </row>
    <row r="13" spans="1:21" ht="14.45" customHeight="1" x14ac:dyDescent="0.25">
      <c r="A13" s="6" t="s">
        <v>23</v>
      </c>
      <c r="B13" s="6"/>
      <c r="C13" s="6">
        <v>8</v>
      </c>
      <c r="D13" s="414">
        <v>10112</v>
      </c>
      <c r="E13" s="24">
        <v>8</v>
      </c>
      <c r="F13" s="414">
        <v>10211</v>
      </c>
      <c r="G13" s="24">
        <f t="shared" si="0"/>
        <v>0</v>
      </c>
      <c r="H13" s="414">
        <f t="shared" si="1"/>
        <v>99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2"/>
        <v>0</v>
      </c>
    </row>
    <row r="14" spans="1:21" ht="14.45" customHeight="1" x14ac:dyDescent="0.25">
      <c r="A14" s="6" t="s">
        <v>248</v>
      </c>
      <c r="B14" s="6" t="s">
        <v>60</v>
      </c>
      <c r="C14" s="6">
        <v>6</v>
      </c>
      <c r="D14" s="414">
        <v>6400</v>
      </c>
      <c r="E14" s="24">
        <v>6</v>
      </c>
      <c r="F14" s="414">
        <v>7770</v>
      </c>
      <c r="G14" s="24">
        <f t="shared" si="0"/>
        <v>0</v>
      </c>
      <c r="H14" s="414">
        <f t="shared" si="1"/>
        <v>1370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2"/>
        <v>0</v>
      </c>
    </row>
    <row r="15" spans="1:21" ht="14.45" customHeight="1" x14ac:dyDescent="0.25">
      <c r="A15" s="6" t="s">
        <v>249</v>
      </c>
      <c r="B15" s="6" t="s">
        <v>60</v>
      </c>
      <c r="C15" s="6">
        <v>6</v>
      </c>
      <c r="D15" s="414">
        <v>10300</v>
      </c>
      <c r="E15" s="24">
        <v>6</v>
      </c>
      <c r="F15" s="414">
        <v>9765</v>
      </c>
      <c r="G15" s="24">
        <f t="shared" si="0"/>
        <v>0</v>
      </c>
      <c r="H15" s="414">
        <f t="shared" si="1"/>
        <v>-535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si="2"/>
        <v>0</v>
      </c>
    </row>
    <row r="16" spans="1:21" ht="14.45" customHeight="1" x14ac:dyDescent="0.25">
      <c r="A16" s="6" t="s">
        <v>246</v>
      </c>
      <c r="B16" s="6" t="s">
        <v>60</v>
      </c>
      <c r="C16" s="24">
        <v>10</v>
      </c>
      <c r="D16" s="414">
        <v>9356</v>
      </c>
      <c r="E16" s="24">
        <v>10</v>
      </c>
      <c r="F16" s="414">
        <v>11768</v>
      </c>
      <c r="G16" s="24">
        <f t="shared" si="0"/>
        <v>0</v>
      </c>
      <c r="H16" s="414">
        <f t="shared" si="1"/>
        <v>2412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f t="shared" si="2"/>
        <v>0</v>
      </c>
    </row>
    <row r="17" spans="1:21" ht="14.45" customHeight="1" x14ac:dyDescent="0.25">
      <c r="A17" s="6" t="s">
        <v>283</v>
      </c>
      <c r="B17" s="6" t="s">
        <v>60</v>
      </c>
      <c r="C17" s="24">
        <v>10</v>
      </c>
      <c r="D17" s="414">
        <v>13263</v>
      </c>
      <c r="E17" s="24">
        <v>10</v>
      </c>
      <c r="F17" s="414">
        <v>14175</v>
      </c>
      <c r="G17" s="24">
        <f t="shared" si="0"/>
        <v>0</v>
      </c>
      <c r="H17" s="414">
        <f t="shared" si="1"/>
        <v>912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 t="shared" si="2"/>
        <v>0</v>
      </c>
    </row>
    <row r="18" spans="1:21" ht="14.45" customHeight="1" x14ac:dyDescent="0.25">
      <c r="A18" s="6" t="s">
        <v>179</v>
      </c>
      <c r="B18" s="6"/>
      <c r="C18" s="24">
        <v>5</v>
      </c>
      <c r="D18" s="414">
        <v>9950</v>
      </c>
      <c r="E18" s="24">
        <v>2</v>
      </c>
      <c r="F18" s="414">
        <v>3190</v>
      </c>
      <c r="G18" s="24">
        <f t="shared" si="0"/>
        <v>-3</v>
      </c>
      <c r="H18" s="414">
        <f t="shared" si="1"/>
        <v>-6760</v>
      </c>
      <c r="I18" s="24"/>
      <c r="J18" s="24"/>
      <c r="K18" s="24">
        <v>-1</v>
      </c>
      <c r="L18" s="24"/>
      <c r="M18" s="24"/>
      <c r="N18" s="24">
        <v>-1</v>
      </c>
      <c r="O18" s="24"/>
      <c r="P18" s="24">
        <v>-1</v>
      </c>
      <c r="Q18" s="24"/>
      <c r="R18" s="24"/>
      <c r="S18" s="24"/>
      <c r="T18" s="24"/>
      <c r="U18" s="24">
        <f t="shared" si="2"/>
        <v>-3</v>
      </c>
    </row>
    <row r="19" spans="1:21" ht="15" customHeight="1" x14ac:dyDescent="0.25">
      <c r="A19" s="25" t="s">
        <v>327</v>
      </c>
      <c r="B19" s="6"/>
      <c r="C19" s="24">
        <v>1</v>
      </c>
      <c r="D19" s="414">
        <v>2415</v>
      </c>
      <c r="E19" s="24">
        <v>1</v>
      </c>
      <c r="F19" s="414">
        <v>1595</v>
      </c>
      <c r="G19" s="24">
        <f t="shared" si="0"/>
        <v>0</v>
      </c>
      <c r="H19" s="414">
        <f t="shared" si="1"/>
        <v>-820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f t="shared" si="2"/>
        <v>0</v>
      </c>
    </row>
    <row r="20" spans="1:21" ht="15" customHeight="1" x14ac:dyDescent="0.25">
      <c r="A20" s="443" t="s">
        <v>1221</v>
      </c>
      <c r="B20" s="444"/>
      <c r="C20" s="465">
        <f t="shared" ref="C20:U20" si="3">SUM(C5:C19)</f>
        <v>92</v>
      </c>
      <c r="D20" s="464">
        <f>SUM(D5:D19)</f>
        <v>127206</v>
      </c>
      <c r="E20" s="447">
        <f t="shared" si="3"/>
        <v>87</v>
      </c>
      <c r="F20" s="464">
        <f t="shared" si="3"/>
        <v>121724</v>
      </c>
      <c r="G20" s="447">
        <f t="shared" si="3"/>
        <v>-5</v>
      </c>
      <c r="H20" s="448">
        <f t="shared" si="3"/>
        <v>-5482</v>
      </c>
      <c r="I20" s="447">
        <f t="shared" si="3"/>
        <v>0</v>
      </c>
      <c r="J20" s="447">
        <f t="shared" si="3"/>
        <v>0</v>
      </c>
      <c r="K20" s="447">
        <f t="shared" si="3"/>
        <v>-1</v>
      </c>
      <c r="L20" s="447">
        <f t="shared" si="3"/>
        <v>0</v>
      </c>
      <c r="M20" s="447">
        <f t="shared" si="3"/>
        <v>0</v>
      </c>
      <c r="N20" s="447">
        <f t="shared" si="3"/>
        <v>-2</v>
      </c>
      <c r="O20" s="447">
        <f t="shared" si="3"/>
        <v>0</v>
      </c>
      <c r="P20" s="447">
        <f t="shared" si="3"/>
        <v>-2</v>
      </c>
      <c r="Q20" s="447">
        <f t="shared" si="3"/>
        <v>0</v>
      </c>
      <c r="R20" s="447">
        <f t="shared" si="3"/>
        <v>0</v>
      </c>
      <c r="S20" s="447">
        <f t="shared" si="3"/>
        <v>0</v>
      </c>
      <c r="T20" s="447">
        <f t="shared" si="3"/>
        <v>0</v>
      </c>
      <c r="U20" s="447">
        <f t="shared" si="3"/>
        <v>-5</v>
      </c>
    </row>
    <row r="22" spans="1:21" x14ac:dyDescent="0.25">
      <c r="A22" s="739" t="s">
        <v>1227</v>
      </c>
      <c r="B22" s="739"/>
    </row>
    <row r="23" spans="1:21" ht="30" x14ac:dyDescent="0.25">
      <c r="A23" s="449" t="s">
        <v>1</v>
      </c>
      <c r="B23" s="449" t="s">
        <v>59</v>
      </c>
      <c r="C23" s="425" t="s">
        <v>1222</v>
      </c>
      <c r="D23" s="425" t="s">
        <v>1223</v>
      </c>
      <c r="E23" s="425" t="s">
        <v>392</v>
      </c>
      <c r="F23" s="426" t="s">
        <v>2</v>
      </c>
      <c r="G23" s="432" t="s">
        <v>1225</v>
      </c>
      <c r="H23" s="427" t="s">
        <v>1224</v>
      </c>
      <c r="I23" s="424" t="s">
        <v>681</v>
      </c>
      <c r="J23" s="424" t="s">
        <v>77</v>
      </c>
      <c r="K23" s="424" t="s">
        <v>682</v>
      </c>
      <c r="L23" s="424" t="s">
        <v>683</v>
      </c>
      <c r="M23" s="424" t="s">
        <v>87</v>
      </c>
      <c r="N23" s="424" t="s">
        <v>684</v>
      </c>
      <c r="O23" s="424" t="s">
        <v>685</v>
      </c>
      <c r="P23" s="424" t="s">
        <v>690</v>
      </c>
      <c r="Q23" s="424" t="s">
        <v>686</v>
      </c>
      <c r="R23" s="424" t="s">
        <v>687</v>
      </c>
      <c r="S23" s="424" t="s">
        <v>688</v>
      </c>
      <c r="T23" s="424" t="s">
        <v>689</v>
      </c>
      <c r="U23" s="424" t="s">
        <v>1238</v>
      </c>
    </row>
    <row r="24" spans="1:21" ht="15" customHeight="1" x14ac:dyDescent="0.25">
      <c r="A24" s="27" t="s">
        <v>1256</v>
      </c>
      <c r="B24" s="24" t="s">
        <v>60</v>
      </c>
      <c r="C24" s="430">
        <v>42066</v>
      </c>
      <c r="D24" s="431">
        <v>42072</v>
      </c>
      <c r="E24" s="421">
        <v>6</v>
      </c>
      <c r="F24" s="431">
        <v>42095</v>
      </c>
      <c r="G24" s="421">
        <v>1</v>
      </c>
      <c r="H24" s="28">
        <v>1595</v>
      </c>
      <c r="I24" s="24"/>
      <c r="J24" s="24"/>
      <c r="K24" s="24"/>
      <c r="L24" s="24"/>
      <c r="M24" s="24">
        <v>1</v>
      </c>
      <c r="N24" s="24"/>
      <c r="O24" s="24"/>
      <c r="P24" s="24"/>
      <c r="Q24" s="24"/>
      <c r="R24" s="24"/>
      <c r="S24" s="24"/>
      <c r="T24" s="24"/>
      <c r="U24" s="24">
        <f t="shared" ref="U24:U29" si="4">SUM(I24:T24)</f>
        <v>1</v>
      </c>
    </row>
    <row r="25" spans="1:21" ht="15" customHeight="1" x14ac:dyDescent="0.25">
      <c r="A25" s="27" t="s">
        <v>1168</v>
      </c>
      <c r="B25" s="24" t="s">
        <v>60</v>
      </c>
      <c r="C25" s="430">
        <v>41996</v>
      </c>
      <c r="D25" s="431">
        <v>42118</v>
      </c>
      <c r="E25" s="421">
        <v>120</v>
      </c>
      <c r="F25" s="431">
        <v>42111</v>
      </c>
      <c r="G25" s="421">
        <v>5</v>
      </c>
      <c r="H25" s="28">
        <v>7750</v>
      </c>
      <c r="I25" s="24">
        <v>1</v>
      </c>
      <c r="J25" s="24">
        <v>2</v>
      </c>
      <c r="K25" s="24"/>
      <c r="L25" s="24"/>
      <c r="M25" s="24">
        <v>1</v>
      </c>
      <c r="N25" s="24">
        <v>1</v>
      </c>
      <c r="O25" s="24"/>
      <c r="P25" s="24"/>
      <c r="Q25" s="24"/>
      <c r="R25" s="24"/>
      <c r="S25" s="24"/>
      <c r="T25" s="24"/>
      <c r="U25" s="24">
        <f t="shared" si="4"/>
        <v>5</v>
      </c>
    </row>
    <row r="26" spans="1:21" ht="15" customHeight="1" x14ac:dyDescent="0.25">
      <c r="A26" s="27"/>
      <c r="B26" s="24"/>
      <c r="C26" s="430"/>
      <c r="D26" s="431"/>
      <c r="E26" s="421"/>
      <c r="F26" s="431"/>
      <c r="G26" s="421"/>
      <c r="H26" s="28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f t="shared" si="4"/>
        <v>0</v>
      </c>
    </row>
    <row r="27" spans="1:21" ht="15" customHeight="1" x14ac:dyDescent="0.25">
      <c r="A27" s="27"/>
      <c r="B27" s="24"/>
      <c r="C27" s="430"/>
      <c r="D27" s="431"/>
      <c r="E27" s="421"/>
      <c r="F27" s="431"/>
      <c r="G27" s="421"/>
      <c r="H27" s="2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f t="shared" si="4"/>
        <v>0</v>
      </c>
    </row>
    <row r="28" spans="1:21" ht="15" customHeight="1" x14ac:dyDescent="0.25">
      <c r="A28" s="27"/>
      <c r="B28" s="24"/>
      <c r="C28" s="430"/>
      <c r="D28" s="431"/>
      <c r="E28" s="421"/>
      <c r="F28" s="431"/>
      <c r="G28" s="421"/>
      <c r="H28" s="2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f t="shared" si="4"/>
        <v>0</v>
      </c>
    </row>
    <row r="29" spans="1:21" ht="15" customHeight="1" x14ac:dyDescent="0.25">
      <c r="A29" s="27"/>
      <c r="B29" s="24"/>
      <c r="C29" s="430"/>
      <c r="D29" s="431"/>
      <c r="E29" s="421"/>
      <c r="F29" s="431"/>
      <c r="G29" s="421"/>
      <c r="H29" s="2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>
        <f t="shared" si="4"/>
        <v>0</v>
      </c>
    </row>
    <row r="30" spans="1:21" ht="15" customHeight="1" x14ac:dyDescent="0.25">
      <c r="A30" s="443" t="s">
        <v>1226</v>
      </c>
      <c r="B30" s="444"/>
      <c r="C30" s="445"/>
      <c r="D30" s="446"/>
      <c r="E30" s="447"/>
      <c r="F30" s="446"/>
      <c r="G30" s="447">
        <f>SUM(G24:G29)</f>
        <v>6</v>
      </c>
      <c r="H30" s="448">
        <f>SUM(H24:H29)</f>
        <v>9345</v>
      </c>
      <c r="I30" s="447">
        <f t="shared" ref="I30:U30" si="5">SUM(I24:I29)</f>
        <v>1</v>
      </c>
      <c r="J30" s="447">
        <f t="shared" si="5"/>
        <v>2</v>
      </c>
      <c r="K30" s="447">
        <f t="shared" si="5"/>
        <v>0</v>
      </c>
      <c r="L30" s="447">
        <f t="shared" si="5"/>
        <v>0</v>
      </c>
      <c r="M30" s="447">
        <f t="shared" si="5"/>
        <v>2</v>
      </c>
      <c r="N30" s="447">
        <f t="shared" si="5"/>
        <v>1</v>
      </c>
      <c r="O30" s="447">
        <f t="shared" si="5"/>
        <v>0</v>
      </c>
      <c r="P30" s="447">
        <f t="shared" si="5"/>
        <v>0</v>
      </c>
      <c r="Q30" s="447">
        <f t="shared" si="5"/>
        <v>0</v>
      </c>
      <c r="R30" s="447">
        <f t="shared" si="5"/>
        <v>0</v>
      </c>
      <c r="S30" s="447">
        <f t="shared" si="5"/>
        <v>0</v>
      </c>
      <c r="T30" s="447">
        <f t="shared" si="5"/>
        <v>0</v>
      </c>
      <c r="U30" s="447">
        <f t="shared" si="5"/>
        <v>6</v>
      </c>
    </row>
    <row r="31" spans="1:21" ht="15" customHeight="1" x14ac:dyDescent="0.25">
      <c r="A31" s="428"/>
      <c r="B31" s="422"/>
      <c r="C31" s="422"/>
      <c r="D31" s="429"/>
      <c r="E31" s="422"/>
      <c r="F31" s="429"/>
      <c r="G31" s="433"/>
      <c r="H31" s="422"/>
    </row>
    <row r="32" spans="1:21" x14ac:dyDescent="0.25">
      <c r="A32" s="739" t="s">
        <v>1228</v>
      </c>
      <c r="B32" s="739"/>
      <c r="G32" s="420"/>
    </row>
    <row r="33" spans="1:21" ht="30" x14ac:dyDescent="0.25">
      <c r="A33" s="449" t="s">
        <v>1</v>
      </c>
      <c r="B33" s="449" t="s">
        <v>59</v>
      </c>
      <c r="C33" s="425" t="s">
        <v>1222</v>
      </c>
      <c r="D33" s="425" t="s">
        <v>1223</v>
      </c>
      <c r="E33" s="425" t="s">
        <v>392</v>
      </c>
      <c r="F33" s="426" t="s">
        <v>2</v>
      </c>
      <c r="G33" s="432" t="s">
        <v>1225</v>
      </c>
      <c r="H33" s="427" t="s">
        <v>1224</v>
      </c>
      <c r="I33" s="424" t="s">
        <v>681</v>
      </c>
      <c r="J33" s="424" t="s">
        <v>77</v>
      </c>
      <c r="K33" s="424" t="s">
        <v>682</v>
      </c>
      <c r="L33" s="424" t="s">
        <v>683</v>
      </c>
      <c r="M33" s="424" t="s">
        <v>87</v>
      </c>
      <c r="N33" s="424" t="s">
        <v>684</v>
      </c>
      <c r="O33" s="424" t="s">
        <v>685</v>
      </c>
      <c r="P33" s="424" t="s">
        <v>690</v>
      </c>
      <c r="Q33" s="424" t="s">
        <v>686</v>
      </c>
      <c r="R33" s="424" t="s">
        <v>687</v>
      </c>
      <c r="S33" s="424" t="s">
        <v>688</v>
      </c>
      <c r="T33" s="424" t="s">
        <v>689</v>
      </c>
      <c r="U33" s="424" t="s">
        <v>1238</v>
      </c>
    </row>
    <row r="34" spans="1:21" ht="15" customHeight="1" x14ac:dyDescent="0.25">
      <c r="A34" s="460" t="s">
        <v>1249</v>
      </c>
      <c r="B34" s="24" t="s">
        <v>60</v>
      </c>
      <c r="C34" s="430">
        <v>42066</v>
      </c>
      <c r="D34" s="431">
        <v>42068</v>
      </c>
      <c r="E34" s="421">
        <v>2</v>
      </c>
      <c r="F34" s="431">
        <v>42095</v>
      </c>
      <c r="G34" s="421">
        <v>1</v>
      </c>
      <c r="H34" s="28">
        <v>2415</v>
      </c>
      <c r="I34" s="24"/>
      <c r="J34" s="24"/>
      <c r="K34" s="24"/>
      <c r="L34" s="24"/>
      <c r="M34" s="24"/>
      <c r="N34" s="24">
        <v>1</v>
      </c>
      <c r="O34" s="24"/>
      <c r="P34" s="24"/>
      <c r="Q34" s="24"/>
      <c r="R34" s="24"/>
      <c r="S34" s="24"/>
      <c r="T34" s="24"/>
      <c r="U34" s="24">
        <v>1</v>
      </c>
    </row>
    <row r="35" spans="1:21" ht="15" customHeight="1" x14ac:dyDescent="0.25">
      <c r="A35" s="27" t="s">
        <v>1261</v>
      </c>
      <c r="B35" s="24" t="s">
        <v>115</v>
      </c>
      <c r="C35" s="430">
        <v>42062</v>
      </c>
      <c r="D35" s="431">
        <v>42082</v>
      </c>
      <c r="E35" s="421">
        <v>24</v>
      </c>
      <c r="F35" s="431">
        <v>42095</v>
      </c>
      <c r="G35" s="421">
        <v>2</v>
      </c>
      <c r="H35" s="28">
        <v>3875</v>
      </c>
      <c r="I35" s="24"/>
      <c r="J35" s="24"/>
      <c r="K35" s="24"/>
      <c r="L35" s="24"/>
      <c r="M35" s="24"/>
      <c r="N35" s="24"/>
      <c r="O35" s="24"/>
      <c r="P35" s="24"/>
      <c r="Q35" s="24">
        <v>2</v>
      </c>
      <c r="R35" s="24"/>
      <c r="S35" s="24"/>
      <c r="T35" s="24"/>
      <c r="U35" s="24">
        <f t="shared" ref="U35:U40" si="6">SUM(I35:T35)</f>
        <v>2</v>
      </c>
    </row>
    <row r="36" spans="1:21" ht="15" customHeight="1" x14ac:dyDescent="0.25">
      <c r="A36" s="27" t="s">
        <v>446</v>
      </c>
      <c r="B36" s="24" t="s">
        <v>115</v>
      </c>
      <c r="C36" s="430">
        <v>42037</v>
      </c>
      <c r="D36" s="431">
        <v>42095</v>
      </c>
      <c r="E36" s="421">
        <v>60</v>
      </c>
      <c r="F36" s="431">
        <v>42095</v>
      </c>
      <c r="G36" s="421">
        <v>1</v>
      </c>
      <c r="H36" s="28">
        <v>2300</v>
      </c>
      <c r="I36" s="24"/>
      <c r="J36" s="24"/>
      <c r="K36" s="24"/>
      <c r="L36" s="24"/>
      <c r="M36" s="24"/>
      <c r="N36" s="24"/>
      <c r="O36" s="24"/>
      <c r="P36" s="24"/>
      <c r="Q36" s="24"/>
      <c r="R36" s="24">
        <v>1</v>
      </c>
      <c r="S36" s="24"/>
      <c r="T36" s="24"/>
      <c r="U36" s="24">
        <f t="shared" si="6"/>
        <v>1</v>
      </c>
    </row>
    <row r="37" spans="1:21" ht="15" customHeight="1" x14ac:dyDescent="0.25">
      <c r="A37" s="27" t="s">
        <v>1289</v>
      </c>
      <c r="B37" s="24" t="s">
        <v>60</v>
      </c>
      <c r="C37" s="430">
        <v>42082</v>
      </c>
      <c r="D37" s="431">
        <v>42107</v>
      </c>
      <c r="E37" s="421">
        <v>25</v>
      </c>
      <c r="F37" s="431">
        <v>42005</v>
      </c>
      <c r="G37" s="421">
        <v>1</v>
      </c>
      <c r="H37" s="28">
        <v>1436</v>
      </c>
      <c r="I37" s="24"/>
      <c r="J37" s="24"/>
      <c r="K37" s="24"/>
      <c r="L37" s="24"/>
      <c r="M37" s="24"/>
      <c r="N37" s="24"/>
      <c r="O37" s="24">
        <v>1</v>
      </c>
      <c r="P37" s="24"/>
      <c r="Q37" s="24"/>
      <c r="R37" s="24"/>
      <c r="S37" s="24"/>
      <c r="T37" s="24"/>
      <c r="U37" s="24">
        <f t="shared" si="6"/>
        <v>1</v>
      </c>
    </row>
    <row r="38" spans="1:21" ht="15" customHeight="1" x14ac:dyDescent="0.25">
      <c r="A38" s="27" t="s">
        <v>1290</v>
      </c>
      <c r="B38" s="24" t="s">
        <v>60</v>
      </c>
      <c r="C38" s="430">
        <v>42100</v>
      </c>
      <c r="D38" s="431">
        <v>42108</v>
      </c>
      <c r="E38" s="421">
        <v>8</v>
      </c>
      <c r="F38" s="431">
        <v>42005</v>
      </c>
      <c r="G38" s="421">
        <v>1</v>
      </c>
      <c r="H38" s="28">
        <v>2173</v>
      </c>
      <c r="I38" s="24">
        <v>1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>
        <f t="shared" si="6"/>
        <v>1</v>
      </c>
    </row>
    <row r="39" spans="1:21" ht="15" customHeight="1" x14ac:dyDescent="0.25">
      <c r="A39" s="27"/>
      <c r="B39" s="24"/>
      <c r="C39" s="430"/>
      <c r="D39" s="431"/>
      <c r="E39" s="421"/>
      <c r="F39" s="431"/>
      <c r="G39" s="421"/>
      <c r="H39" s="2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>
        <f t="shared" si="6"/>
        <v>0</v>
      </c>
    </row>
    <row r="40" spans="1:21" ht="15" customHeight="1" x14ac:dyDescent="0.25">
      <c r="A40" s="27"/>
      <c r="B40" s="24"/>
      <c r="C40" s="430"/>
      <c r="D40" s="431"/>
      <c r="E40" s="421"/>
      <c r="F40" s="431"/>
      <c r="G40" s="421"/>
      <c r="H40" s="2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 t="shared" si="6"/>
        <v>0</v>
      </c>
    </row>
    <row r="41" spans="1:21" ht="15" customHeight="1" x14ac:dyDescent="0.25">
      <c r="A41" s="443" t="s">
        <v>1305</v>
      </c>
      <c r="B41" s="444"/>
      <c r="C41" s="445"/>
      <c r="D41" s="446"/>
      <c r="E41" s="447"/>
      <c r="F41" s="446"/>
      <c r="G41" s="447">
        <f t="shared" ref="G41:U41" si="7">SUM(G34:G40)</f>
        <v>6</v>
      </c>
      <c r="H41" s="448">
        <f t="shared" si="7"/>
        <v>12199</v>
      </c>
      <c r="I41" s="447">
        <f t="shared" si="7"/>
        <v>1</v>
      </c>
      <c r="J41" s="447">
        <f t="shared" si="7"/>
        <v>0</v>
      </c>
      <c r="K41" s="447">
        <f t="shared" si="7"/>
        <v>0</v>
      </c>
      <c r="L41" s="447">
        <f t="shared" si="7"/>
        <v>0</v>
      </c>
      <c r="M41" s="447">
        <f t="shared" si="7"/>
        <v>0</v>
      </c>
      <c r="N41" s="447">
        <f t="shared" si="7"/>
        <v>1</v>
      </c>
      <c r="O41" s="447">
        <f t="shared" si="7"/>
        <v>1</v>
      </c>
      <c r="P41" s="447">
        <f t="shared" si="7"/>
        <v>0</v>
      </c>
      <c r="Q41" s="447">
        <f t="shared" si="7"/>
        <v>2</v>
      </c>
      <c r="R41" s="447">
        <f t="shared" si="7"/>
        <v>1</v>
      </c>
      <c r="S41" s="447">
        <f t="shared" si="7"/>
        <v>0</v>
      </c>
      <c r="T41" s="447">
        <f t="shared" si="7"/>
        <v>0</v>
      </c>
      <c r="U41" s="447">
        <f t="shared" si="7"/>
        <v>6</v>
      </c>
    </row>
    <row r="43" spans="1:21" x14ac:dyDescent="0.25">
      <c r="A43" s="739" t="s">
        <v>1229</v>
      </c>
      <c r="B43" s="739"/>
    </row>
    <row r="44" spans="1:21" ht="30" x14ac:dyDescent="0.25">
      <c r="A44" s="449" t="s">
        <v>1</v>
      </c>
      <c r="B44" s="449" t="s">
        <v>59</v>
      </c>
      <c r="C44" s="425"/>
      <c r="D44" s="425"/>
      <c r="E44" s="425"/>
      <c r="F44" s="426"/>
      <c r="G44" s="432" t="s">
        <v>1225</v>
      </c>
      <c r="H44" s="427" t="s">
        <v>1224</v>
      </c>
      <c r="I44" s="424" t="s">
        <v>681</v>
      </c>
      <c r="J44" s="424" t="s">
        <v>77</v>
      </c>
      <c r="K44" s="424" t="s">
        <v>682</v>
      </c>
      <c r="L44" s="424" t="s">
        <v>683</v>
      </c>
      <c r="M44" s="424" t="s">
        <v>87</v>
      </c>
      <c r="N44" s="424" t="s">
        <v>684</v>
      </c>
      <c r="O44" s="424" t="s">
        <v>685</v>
      </c>
      <c r="P44" s="424" t="s">
        <v>690</v>
      </c>
      <c r="Q44" s="424" t="s">
        <v>686</v>
      </c>
      <c r="R44" s="424" t="s">
        <v>687</v>
      </c>
      <c r="S44" s="424" t="s">
        <v>688</v>
      </c>
      <c r="T44" s="424" t="s">
        <v>689</v>
      </c>
      <c r="U44" s="424" t="s">
        <v>1238</v>
      </c>
    </row>
    <row r="45" spans="1:21" ht="15" customHeight="1" x14ac:dyDescent="0.25">
      <c r="A45" s="27" t="s">
        <v>1297</v>
      </c>
      <c r="B45" s="24" t="s">
        <v>60</v>
      </c>
      <c r="C45" s="430">
        <v>42100</v>
      </c>
      <c r="D45" s="431">
        <v>42108</v>
      </c>
      <c r="E45" s="421">
        <v>8</v>
      </c>
      <c r="F45" s="431">
        <v>42005</v>
      </c>
      <c r="G45" s="421">
        <v>-1</v>
      </c>
      <c r="H45" s="28">
        <v>-840</v>
      </c>
      <c r="I45" s="24"/>
      <c r="J45" s="24"/>
      <c r="K45" s="24">
        <v>-1</v>
      </c>
      <c r="L45" s="24"/>
      <c r="M45" s="24"/>
      <c r="N45" s="24"/>
      <c r="O45" s="24"/>
      <c r="P45" s="24"/>
      <c r="Q45" s="24"/>
      <c r="R45" s="24"/>
      <c r="S45" s="24"/>
      <c r="T45" s="24"/>
      <c r="U45" s="24">
        <f t="shared" ref="U45" si="8">SUM(I45:T45)</f>
        <v>-1</v>
      </c>
    </row>
    <row r="46" spans="1:21" ht="15" customHeight="1" x14ac:dyDescent="0.25">
      <c r="A46" s="443" t="s">
        <v>1230</v>
      </c>
      <c r="B46" s="444"/>
      <c r="C46" s="445"/>
      <c r="D46" s="446"/>
      <c r="E46" s="447"/>
      <c r="F46" s="446"/>
      <c r="G46" s="447">
        <f t="shared" ref="G46:U46" si="9">SUM(G45:G45)</f>
        <v>-1</v>
      </c>
      <c r="H46" s="448">
        <f t="shared" si="9"/>
        <v>-840</v>
      </c>
      <c r="I46" s="447">
        <f t="shared" si="9"/>
        <v>0</v>
      </c>
      <c r="J46" s="447">
        <f t="shared" si="9"/>
        <v>0</v>
      </c>
      <c r="K46" s="447">
        <f t="shared" si="9"/>
        <v>-1</v>
      </c>
      <c r="L46" s="447">
        <f t="shared" si="9"/>
        <v>0</v>
      </c>
      <c r="M46" s="447">
        <f t="shared" si="9"/>
        <v>0</v>
      </c>
      <c r="N46" s="447">
        <f t="shared" si="9"/>
        <v>0</v>
      </c>
      <c r="O46" s="447">
        <f t="shared" si="9"/>
        <v>0</v>
      </c>
      <c r="P46" s="447">
        <f t="shared" si="9"/>
        <v>0</v>
      </c>
      <c r="Q46" s="447">
        <f t="shared" si="9"/>
        <v>0</v>
      </c>
      <c r="R46" s="447">
        <f t="shared" si="9"/>
        <v>0</v>
      </c>
      <c r="S46" s="447">
        <f t="shared" si="9"/>
        <v>0</v>
      </c>
      <c r="T46" s="447">
        <f t="shared" si="9"/>
        <v>0</v>
      </c>
      <c r="U46" s="447">
        <f t="shared" si="9"/>
        <v>-1</v>
      </c>
    </row>
    <row r="48" spans="1:21" x14ac:dyDescent="0.25">
      <c r="A48" s="739" t="s">
        <v>1231</v>
      </c>
      <c r="B48" s="739"/>
    </row>
    <row r="49" spans="1:21" ht="30" x14ac:dyDescent="0.25">
      <c r="A49" s="449" t="s">
        <v>1</v>
      </c>
      <c r="B49" s="449" t="s">
        <v>59</v>
      </c>
      <c r="C49" s="425" t="s">
        <v>1222</v>
      </c>
      <c r="D49" s="425" t="s">
        <v>1223</v>
      </c>
      <c r="E49" s="425" t="s">
        <v>392</v>
      </c>
      <c r="F49" s="426" t="s">
        <v>2</v>
      </c>
      <c r="G49" s="432" t="s">
        <v>1225</v>
      </c>
      <c r="H49" s="427" t="s">
        <v>1224</v>
      </c>
      <c r="I49" s="424" t="s">
        <v>681</v>
      </c>
      <c r="J49" s="424" t="s">
        <v>77</v>
      </c>
      <c r="K49" s="424" t="s">
        <v>682</v>
      </c>
      <c r="L49" s="424" t="s">
        <v>683</v>
      </c>
      <c r="M49" s="424" t="s">
        <v>87</v>
      </c>
      <c r="N49" s="424" t="s">
        <v>684</v>
      </c>
      <c r="O49" s="424" t="s">
        <v>685</v>
      </c>
      <c r="P49" s="424" t="s">
        <v>690</v>
      </c>
      <c r="Q49" s="424" t="s">
        <v>686</v>
      </c>
      <c r="R49" s="424" t="s">
        <v>687</v>
      </c>
      <c r="S49" s="424" t="s">
        <v>688</v>
      </c>
      <c r="T49" s="424" t="s">
        <v>689</v>
      </c>
      <c r="U49" s="424" t="s">
        <v>1238</v>
      </c>
    </row>
    <row r="50" spans="1:21" ht="15" customHeight="1" x14ac:dyDescent="0.25">
      <c r="A50" s="27"/>
      <c r="B50" s="24"/>
      <c r="C50" s="430"/>
      <c r="D50" s="431"/>
      <c r="E50" s="421"/>
      <c r="F50" s="431"/>
      <c r="G50" s="421"/>
      <c r="H50" s="28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>
        <f t="shared" ref="U50:U52" si="10">SUM(I50:T50)</f>
        <v>0</v>
      </c>
    </row>
    <row r="51" spans="1:21" ht="15" customHeight="1" x14ac:dyDescent="0.25">
      <c r="A51" s="27"/>
      <c r="B51" s="24"/>
      <c r="C51" s="430"/>
      <c r="D51" s="431"/>
      <c r="E51" s="421"/>
      <c r="F51" s="431"/>
      <c r="G51" s="421"/>
      <c r="H51" s="28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f t="shared" si="10"/>
        <v>0</v>
      </c>
    </row>
    <row r="52" spans="1:21" ht="15" customHeight="1" x14ac:dyDescent="0.25">
      <c r="A52" s="27"/>
      <c r="B52" s="24"/>
      <c r="C52" s="430"/>
      <c r="D52" s="431"/>
      <c r="E52" s="421"/>
      <c r="F52" s="431"/>
      <c r="G52" s="421"/>
      <c r="H52" s="28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>
        <f t="shared" si="10"/>
        <v>0</v>
      </c>
    </row>
    <row r="53" spans="1:21" ht="15" customHeight="1" x14ac:dyDescent="0.25">
      <c r="A53" s="443" t="s">
        <v>1230</v>
      </c>
      <c r="B53" s="444"/>
      <c r="C53" s="445"/>
      <c r="D53" s="446"/>
      <c r="E53" s="447"/>
      <c r="F53" s="446"/>
      <c r="G53" s="447">
        <f>SUM(G50:G52)</f>
        <v>0</v>
      </c>
      <c r="H53" s="448">
        <f>SUM(H50:H52)</f>
        <v>0</v>
      </c>
      <c r="I53" s="447">
        <f t="shared" ref="I53:U53" si="11">SUM(I50:I52)</f>
        <v>0</v>
      </c>
      <c r="J53" s="447">
        <f t="shared" si="11"/>
        <v>0</v>
      </c>
      <c r="K53" s="447">
        <f t="shared" si="11"/>
        <v>0</v>
      </c>
      <c r="L53" s="447">
        <f t="shared" si="11"/>
        <v>0</v>
      </c>
      <c r="M53" s="447">
        <f t="shared" si="11"/>
        <v>0</v>
      </c>
      <c r="N53" s="447">
        <f t="shared" si="11"/>
        <v>0</v>
      </c>
      <c r="O53" s="447">
        <f t="shared" si="11"/>
        <v>0</v>
      </c>
      <c r="P53" s="447">
        <f t="shared" si="11"/>
        <v>0</v>
      </c>
      <c r="Q53" s="447">
        <f t="shared" si="11"/>
        <v>0</v>
      </c>
      <c r="R53" s="447">
        <f t="shared" si="11"/>
        <v>0</v>
      </c>
      <c r="S53" s="447">
        <f t="shared" si="11"/>
        <v>0</v>
      </c>
      <c r="T53" s="447">
        <f t="shared" si="11"/>
        <v>0</v>
      </c>
      <c r="U53" s="447">
        <f t="shared" si="11"/>
        <v>0</v>
      </c>
    </row>
    <row r="54" spans="1:21" ht="15.75" thickBot="1" x14ac:dyDescent="0.3"/>
    <row r="55" spans="1:21" ht="15.75" thickBot="1" x14ac:dyDescent="0.3">
      <c r="A55" s="436" t="s">
        <v>1232</v>
      </c>
      <c r="B55" s="434"/>
      <c r="C55" s="434"/>
      <c r="D55" s="434"/>
      <c r="E55" s="434"/>
      <c r="F55" s="434"/>
      <c r="G55" s="437">
        <f t="shared" ref="G55:U55" si="12">G20+G30+G41+G46+G53</f>
        <v>6</v>
      </c>
      <c r="H55" s="438">
        <f t="shared" si="12"/>
        <v>15222</v>
      </c>
      <c r="I55" s="450">
        <f t="shared" si="12"/>
        <v>2</v>
      </c>
      <c r="J55" s="450">
        <f t="shared" si="12"/>
        <v>2</v>
      </c>
      <c r="K55" s="450">
        <f t="shared" si="12"/>
        <v>-2</v>
      </c>
      <c r="L55" s="450">
        <f t="shared" si="12"/>
        <v>0</v>
      </c>
      <c r="M55" s="450">
        <f t="shared" si="12"/>
        <v>2</v>
      </c>
      <c r="N55" s="450">
        <f t="shared" si="12"/>
        <v>0</v>
      </c>
      <c r="O55" s="450">
        <f t="shared" si="12"/>
        <v>1</v>
      </c>
      <c r="P55" s="450">
        <f t="shared" si="12"/>
        <v>-2</v>
      </c>
      <c r="Q55" s="450">
        <f t="shared" si="12"/>
        <v>2</v>
      </c>
      <c r="R55" s="450">
        <f t="shared" si="12"/>
        <v>1</v>
      </c>
      <c r="S55" s="450">
        <f t="shared" si="12"/>
        <v>0</v>
      </c>
      <c r="T55" s="450">
        <f t="shared" si="12"/>
        <v>0</v>
      </c>
      <c r="U55" s="450">
        <f t="shared" si="12"/>
        <v>6</v>
      </c>
    </row>
    <row r="56" spans="1:21" ht="15.75" thickBot="1" x14ac:dyDescent="0.3">
      <c r="A56" s="436" t="s">
        <v>64</v>
      </c>
      <c r="B56" s="434"/>
      <c r="C56" s="434"/>
      <c r="D56" s="434"/>
      <c r="E56" s="434"/>
      <c r="F56" s="434"/>
      <c r="G56" s="437"/>
      <c r="H56" s="438"/>
    </row>
    <row r="57" spans="1:21" ht="15.75" thickBot="1" x14ac:dyDescent="0.3">
      <c r="A57" s="439" t="s">
        <v>452</v>
      </c>
      <c r="B57" s="440"/>
      <c r="C57" s="440"/>
      <c r="D57" s="440"/>
      <c r="E57" s="440"/>
      <c r="F57" s="440"/>
      <c r="G57" s="441"/>
      <c r="H57" s="442">
        <f>H55-H56</f>
        <v>15222</v>
      </c>
    </row>
    <row r="60" spans="1:21" x14ac:dyDescent="0.25">
      <c r="H60" s="435"/>
    </row>
  </sheetData>
  <sortState ref="A5:U19">
    <sortCondition ref="A5:A19"/>
  </sortState>
  <mergeCells count="8">
    <mergeCell ref="G3:H3"/>
    <mergeCell ref="A22:B22"/>
    <mergeCell ref="A32:B32"/>
    <mergeCell ref="A43:B43"/>
    <mergeCell ref="A48:B48"/>
    <mergeCell ref="A3:B3"/>
    <mergeCell ref="C3:D3"/>
    <mergeCell ref="E3:F3"/>
  </mergeCells>
  <pageMargins left="0.7" right="0.7" top="0.75" bottom="0.75" header="0.3" footer="0.3"/>
  <pageSetup scale="56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/>
  </sheetPr>
  <dimension ref="A1:U57"/>
  <sheetViews>
    <sheetView topLeftCell="A40" zoomScale="90" zoomScaleNormal="9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7" width="11.85546875" style="419" customWidth="1"/>
    <col min="8" max="8" width="18.28515625" style="419" bestFit="1" customWidth="1"/>
    <col min="9" max="21" width="6.28515625" style="419" customWidth="1"/>
    <col min="22" max="16384" width="8.85546875" style="419"/>
  </cols>
  <sheetData>
    <row r="1" spans="1:21" x14ac:dyDescent="0.25">
      <c r="A1" s="418" t="s">
        <v>1355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6" t="s">
        <v>355</v>
      </c>
      <c r="B5" s="6" t="s">
        <v>60</v>
      </c>
      <c r="C5" s="9">
        <v>1</v>
      </c>
      <c r="D5" s="413">
        <v>800</v>
      </c>
      <c r="E5" s="24">
        <v>1</v>
      </c>
      <c r="F5" s="414">
        <v>840</v>
      </c>
      <c r="G5" s="24">
        <f t="shared" ref="G5:G14" si="0">E5-C5</f>
        <v>0</v>
      </c>
      <c r="H5" s="414">
        <f t="shared" ref="H5:H14" si="1">F5-D5</f>
        <v>40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4" si="2">SUM(I5:T5)</f>
        <v>0</v>
      </c>
    </row>
    <row r="6" spans="1:21" ht="14.45" customHeight="1" x14ac:dyDescent="0.25">
      <c r="A6" s="9" t="s">
        <v>281</v>
      </c>
      <c r="B6" s="6" t="s">
        <v>1293</v>
      </c>
      <c r="C6" s="9">
        <v>1</v>
      </c>
      <c r="D6" s="413">
        <v>840</v>
      </c>
      <c r="E6" s="24">
        <v>1</v>
      </c>
      <c r="F6" s="414">
        <v>865</v>
      </c>
      <c r="G6" s="24">
        <f t="shared" si="0"/>
        <v>0</v>
      </c>
      <c r="H6" s="414">
        <f t="shared" si="1"/>
        <v>25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2"/>
        <v>0</v>
      </c>
    </row>
    <row r="7" spans="1:21" ht="14.45" customHeight="1" x14ac:dyDescent="0.25">
      <c r="A7" s="9" t="s">
        <v>245</v>
      </c>
      <c r="B7" s="9" t="s">
        <v>115</v>
      </c>
      <c r="C7" s="9">
        <v>7</v>
      </c>
      <c r="D7" s="413">
        <v>8280</v>
      </c>
      <c r="E7" s="24">
        <v>7</v>
      </c>
      <c r="F7" s="414">
        <v>7749</v>
      </c>
      <c r="G7" s="24">
        <f t="shared" si="0"/>
        <v>0</v>
      </c>
      <c r="H7" s="414">
        <f t="shared" si="1"/>
        <v>-531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2"/>
        <v>0</v>
      </c>
    </row>
    <row r="8" spans="1:21" ht="14.45" customHeight="1" x14ac:dyDescent="0.25">
      <c r="A8" s="9" t="s">
        <v>1292</v>
      </c>
      <c r="B8" s="6" t="s">
        <v>115</v>
      </c>
      <c r="C8" s="9">
        <v>4</v>
      </c>
      <c r="D8" s="413">
        <v>3400</v>
      </c>
      <c r="E8" s="24">
        <v>4</v>
      </c>
      <c r="F8" s="414">
        <v>3990</v>
      </c>
      <c r="G8" s="24">
        <f t="shared" si="0"/>
        <v>0</v>
      </c>
      <c r="H8" s="414">
        <f t="shared" si="1"/>
        <v>590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2"/>
        <v>0</v>
      </c>
    </row>
    <row r="9" spans="1:21" ht="14.45" customHeight="1" x14ac:dyDescent="0.25">
      <c r="A9" s="9" t="s">
        <v>356</v>
      </c>
      <c r="B9" s="9" t="s">
        <v>60</v>
      </c>
      <c r="C9" s="9">
        <v>2</v>
      </c>
      <c r="D9" s="413">
        <v>4600</v>
      </c>
      <c r="E9" s="24">
        <v>2</v>
      </c>
      <c r="F9" s="414">
        <v>4830</v>
      </c>
      <c r="G9" s="24">
        <f t="shared" si="0"/>
        <v>0</v>
      </c>
      <c r="H9" s="414">
        <f t="shared" si="1"/>
        <v>230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2"/>
        <v>0</v>
      </c>
    </row>
    <row r="10" spans="1:21" ht="14.45" customHeight="1" x14ac:dyDescent="0.25">
      <c r="A10" s="9" t="s">
        <v>282</v>
      </c>
      <c r="B10" s="9" t="s">
        <v>60</v>
      </c>
      <c r="C10" s="9">
        <v>5</v>
      </c>
      <c r="D10" s="413">
        <v>6000</v>
      </c>
      <c r="E10" s="24">
        <v>5</v>
      </c>
      <c r="F10" s="414">
        <v>6300</v>
      </c>
      <c r="G10" s="24">
        <f t="shared" si="0"/>
        <v>0</v>
      </c>
      <c r="H10" s="414">
        <f t="shared" si="1"/>
        <v>300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2"/>
        <v>0</v>
      </c>
    </row>
    <row r="11" spans="1:21" ht="14.45" customHeight="1" x14ac:dyDescent="0.25">
      <c r="A11" s="6" t="s">
        <v>354</v>
      </c>
      <c r="B11" s="6" t="s">
        <v>60</v>
      </c>
      <c r="C11" s="9">
        <v>2</v>
      </c>
      <c r="D11" s="413">
        <v>3100</v>
      </c>
      <c r="E11" s="24">
        <v>2</v>
      </c>
      <c r="F11" s="414">
        <v>3190</v>
      </c>
      <c r="G11" s="24">
        <f t="shared" si="0"/>
        <v>0</v>
      </c>
      <c r="H11" s="414">
        <f t="shared" si="1"/>
        <v>90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si="2"/>
        <v>0</v>
      </c>
    </row>
    <row r="12" spans="1:21" ht="14.45" customHeight="1" x14ac:dyDescent="0.25">
      <c r="A12" s="6" t="s">
        <v>330</v>
      </c>
      <c r="B12" s="6" t="s">
        <v>1293</v>
      </c>
      <c r="C12" s="9">
        <v>6</v>
      </c>
      <c r="D12" s="413">
        <v>7770</v>
      </c>
      <c r="E12" s="24">
        <v>7</v>
      </c>
      <c r="F12" s="414">
        <v>9167</v>
      </c>
      <c r="G12" s="24">
        <f t="shared" si="0"/>
        <v>1</v>
      </c>
      <c r="H12" s="414">
        <f t="shared" si="1"/>
        <v>1397</v>
      </c>
      <c r="I12" s="24"/>
      <c r="J12" s="24"/>
      <c r="K12" s="24"/>
      <c r="L12" s="24"/>
      <c r="M12" s="24">
        <v>1</v>
      </c>
      <c r="N12" s="24"/>
      <c r="O12" s="24"/>
      <c r="P12" s="24"/>
      <c r="Q12" s="24"/>
      <c r="R12" s="24"/>
      <c r="S12" s="24"/>
      <c r="T12" s="24"/>
      <c r="U12" s="24">
        <f t="shared" si="2"/>
        <v>1</v>
      </c>
    </row>
    <row r="13" spans="1:21" ht="14.45" customHeight="1" x14ac:dyDescent="0.25">
      <c r="A13" s="22" t="s">
        <v>273</v>
      </c>
      <c r="B13" s="9" t="s">
        <v>1293</v>
      </c>
      <c r="C13" s="9">
        <v>10</v>
      </c>
      <c r="D13" s="413">
        <v>18900</v>
      </c>
      <c r="E13" s="24">
        <v>10</v>
      </c>
      <c r="F13" s="414">
        <v>17114</v>
      </c>
      <c r="G13" s="24">
        <f t="shared" si="0"/>
        <v>0</v>
      </c>
      <c r="H13" s="414">
        <f t="shared" si="1"/>
        <v>-1786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2"/>
        <v>0</v>
      </c>
    </row>
    <row r="14" spans="1:21" ht="15" customHeight="1" x14ac:dyDescent="0.25">
      <c r="A14" s="24"/>
      <c r="B14" s="24"/>
      <c r="C14" s="24"/>
      <c r="D14" s="414"/>
      <c r="E14" s="24"/>
      <c r="F14" s="414"/>
      <c r="G14" s="24">
        <f t="shared" si="0"/>
        <v>0</v>
      </c>
      <c r="H14" s="414">
        <f t="shared" si="1"/>
        <v>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2"/>
        <v>0</v>
      </c>
    </row>
    <row r="15" spans="1:21" ht="15" customHeight="1" x14ac:dyDescent="0.25">
      <c r="A15" s="443" t="s">
        <v>1221</v>
      </c>
      <c r="B15" s="444"/>
      <c r="C15" s="447">
        <f>SUM(C5:C14)</f>
        <v>38</v>
      </c>
      <c r="D15" s="447">
        <f t="shared" ref="D15:U15" si="3">SUM(D5:D14)</f>
        <v>53690</v>
      </c>
      <c r="E15" s="447">
        <f>SUM(E5:E14)</f>
        <v>39</v>
      </c>
      <c r="F15" s="447">
        <f t="shared" si="3"/>
        <v>54045</v>
      </c>
      <c r="G15" s="447">
        <f t="shared" si="3"/>
        <v>1</v>
      </c>
      <c r="H15" s="466">
        <f t="shared" si="3"/>
        <v>355</v>
      </c>
      <c r="I15" s="447">
        <f t="shared" si="3"/>
        <v>0</v>
      </c>
      <c r="J15" s="447">
        <f t="shared" si="3"/>
        <v>0</v>
      </c>
      <c r="K15" s="447">
        <f t="shared" si="3"/>
        <v>0</v>
      </c>
      <c r="L15" s="447">
        <f t="shared" si="3"/>
        <v>0</v>
      </c>
      <c r="M15" s="447">
        <f t="shared" si="3"/>
        <v>1</v>
      </c>
      <c r="N15" s="447">
        <f t="shared" si="3"/>
        <v>0</v>
      </c>
      <c r="O15" s="447">
        <f t="shared" si="3"/>
        <v>0</v>
      </c>
      <c r="P15" s="447">
        <f t="shared" si="3"/>
        <v>0</v>
      </c>
      <c r="Q15" s="447">
        <f t="shared" si="3"/>
        <v>0</v>
      </c>
      <c r="R15" s="447">
        <f t="shared" si="3"/>
        <v>0</v>
      </c>
      <c r="S15" s="447">
        <f t="shared" si="3"/>
        <v>0</v>
      </c>
      <c r="T15" s="447">
        <f t="shared" si="3"/>
        <v>0</v>
      </c>
      <c r="U15" s="447">
        <f t="shared" si="3"/>
        <v>1</v>
      </c>
    </row>
    <row r="17" spans="1:21" x14ac:dyDescent="0.25">
      <c r="A17" s="739" t="s">
        <v>1227</v>
      </c>
      <c r="B17" s="739"/>
    </row>
    <row r="18" spans="1:21" ht="30" x14ac:dyDescent="0.25">
      <c r="A18" s="449" t="s">
        <v>1</v>
      </c>
      <c r="B18" s="449" t="s">
        <v>59</v>
      </c>
      <c r="C18" s="425" t="s">
        <v>1222</v>
      </c>
      <c r="D18" s="425" t="s">
        <v>1223</v>
      </c>
      <c r="E18" s="425" t="s">
        <v>392</v>
      </c>
      <c r="F18" s="426" t="s">
        <v>2</v>
      </c>
      <c r="G18" s="432" t="s">
        <v>1225</v>
      </c>
      <c r="H18" s="427" t="s">
        <v>1224</v>
      </c>
      <c r="I18" s="424" t="s">
        <v>681</v>
      </c>
      <c r="J18" s="424" t="s">
        <v>77</v>
      </c>
      <c r="K18" s="424" t="s">
        <v>682</v>
      </c>
      <c r="L18" s="424" t="s">
        <v>683</v>
      </c>
      <c r="M18" s="424" t="s">
        <v>87</v>
      </c>
      <c r="N18" s="424" t="s">
        <v>684</v>
      </c>
      <c r="O18" s="424" t="s">
        <v>685</v>
      </c>
      <c r="P18" s="424" t="s">
        <v>690</v>
      </c>
      <c r="Q18" s="424" t="s">
        <v>686</v>
      </c>
      <c r="R18" s="424" t="s">
        <v>687</v>
      </c>
      <c r="S18" s="424" t="s">
        <v>688</v>
      </c>
      <c r="T18" s="424" t="s">
        <v>689</v>
      </c>
      <c r="U18" s="424" t="s">
        <v>1238</v>
      </c>
    </row>
    <row r="19" spans="1:21" ht="15" customHeight="1" x14ac:dyDescent="0.25">
      <c r="A19" s="27" t="s">
        <v>1299</v>
      </c>
      <c r="B19" s="24" t="s">
        <v>115</v>
      </c>
      <c r="C19" s="430">
        <v>42095</v>
      </c>
      <c r="D19" s="431">
        <v>42125</v>
      </c>
      <c r="E19" s="421">
        <v>30</v>
      </c>
      <c r="F19" s="431">
        <v>42125</v>
      </c>
      <c r="G19" s="421">
        <v>4</v>
      </c>
      <c r="H19" s="28">
        <v>6380</v>
      </c>
      <c r="I19" s="24">
        <v>1</v>
      </c>
      <c r="J19" s="24"/>
      <c r="K19" s="24">
        <v>1</v>
      </c>
      <c r="L19" s="24"/>
      <c r="M19" s="24"/>
      <c r="N19" s="24">
        <v>1</v>
      </c>
      <c r="O19" s="24"/>
      <c r="P19" s="24">
        <v>1</v>
      </c>
      <c r="Q19" s="24"/>
      <c r="R19" s="24"/>
      <c r="S19" s="24"/>
      <c r="T19" s="24"/>
      <c r="U19" s="24">
        <f t="shared" ref="U19:U24" si="4">SUM(I19:T19)</f>
        <v>4</v>
      </c>
    </row>
    <row r="20" spans="1:21" ht="15" customHeight="1" x14ac:dyDescent="0.25">
      <c r="A20" s="27" t="s">
        <v>1298</v>
      </c>
      <c r="B20" s="24" t="s">
        <v>60</v>
      </c>
      <c r="C20" s="430">
        <v>42037</v>
      </c>
      <c r="D20" s="431">
        <v>42130</v>
      </c>
      <c r="E20" s="421">
        <v>90</v>
      </c>
      <c r="F20" s="431">
        <v>42122</v>
      </c>
      <c r="G20" s="421">
        <v>3</v>
      </c>
      <c r="H20" s="28">
        <v>4785</v>
      </c>
      <c r="I20" s="24">
        <v>1</v>
      </c>
      <c r="J20" s="24"/>
      <c r="K20" s="24">
        <v>1</v>
      </c>
      <c r="L20" s="24"/>
      <c r="M20" s="24"/>
      <c r="N20" s="24">
        <v>1</v>
      </c>
      <c r="O20" s="24"/>
      <c r="P20" s="24"/>
      <c r="Q20" s="24"/>
      <c r="R20" s="24"/>
      <c r="S20" s="24"/>
      <c r="T20" s="24"/>
      <c r="U20" s="24">
        <f t="shared" si="4"/>
        <v>3</v>
      </c>
    </row>
    <row r="21" spans="1:21" ht="15" customHeight="1" x14ac:dyDescent="0.25">
      <c r="A21" s="27"/>
      <c r="B21" s="24"/>
      <c r="C21" s="430"/>
      <c r="D21" s="431"/>
      <c r="E21" s="421"/>
      <c r="F21" s="431"/>
      <c r="G21" s="421"/>
      <c r="H21" s="2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>SUM(I21:T21)</f>
        <v>0</v>
      </c>
    </row>
    <row r="22" spans="1:21" ht="15" customHeight="1" x14ac:dyDescent="0.25">
      <c r="A22" s="27"/>
      <c r="B22" s="24"/>
      <c r="C22" s="430"/>
      <c r="D22" s="431"/>
      <c r="E22" s="421"/>
      <c r="F22" s="431"/>
      <c r="G22" s="421"/>
      <c r="H22" s="2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4"/>
        <v>0</v>
      </c>
    </row>
    <row r="23" spans="1:21" ht="15" customHeight="1" x14ac:dyDescent="0.25">
      <c r="A23" s="27"/>
      <c r="B23" s="24"/>
      <c r="C23" s="430"/>
      <c r="D23" s="431"/>
      <c r="E23" s="421"/>
      <c r="F23" s="431"/>
      <c r="G23" s="421"/>
      <c r="H23" s="2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4"/>
        <v>0</v>
      </c>
    </row>
    <row r="24" spans="1:21" ht="15" customHeight="1" x14ac:dyDescent="0.25">
      <c r="A24" s="27"/>
      <c r="B24" s="24"/>
      <c r="C24" s="430"/>
      <c r="D24" s="431"/>
      <c r="E24" s="421"/>
      <c r="F24" s="431"/>
      <c r="G24" s="421"/>
      <c r="H24" s="2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4"/>
        <v>0</v>
      </c>
    </row>
    <row r="25" spans="1:21" ht="15" customHeight="1" x14ac:dyDescent="0.25">
      <c r="A25" s="443" t="s">
        <v>1226</v>
      </c>
      <c r="B25" s="444"/>
      <c r="C25" s="445"/>
      <c r="D25" s="446"/>
      <c r="E25" s="447"/>
      <c r="F25" s="446"/>
      <c r="G25" s="447">
        <f t="shared" ref="G25:U25" si="5">SUM(G19:G24)</f>
        <v>7</v>
      </c>
      <c r="H25" s="448">
        <f t="shared" si="5"/>
        <v>11165</v>
      </c>
      <c r="I25" s="447">
        <f t="shared" si="5"/>
        <v>2</v>
      </c>
      <c r="J25" s="447">
        <f t="shared" si="5"/>
        <v>0</v>
      </c>
      <c r="K25" s="447">
        <f t="shared" si="5"/>
        <v>2</v>
      </c>
      <c r="L25" s="447">
        <f t="shared" si="5"/>
        <v>0</v>
      </c>
      <c r="M25" s="447">
        <f t="shared" si="5"/>
        <v>0</v>
      </c>
      <c r="N25" s="447">
        <f t="shared" si="5"/>
        <v>2</v>
      </c>
      <c r="O25" s="447">
        <f t="shared" si="5"/>
        <v>0</v>
      </c>
      <c r="P25" s="447">
        <f t="shared" si="5"/>
        <v>1</v>
      </c>
      <c r="Q25" s="447">
        <f t="shared" si="5"/>
        <v>0</v>
      </c>
      <c r="R25" s="447">
        <f t="shared" si="5"/>
        <v>0</v>
      </c>
      <c r="S25" s="447">
        <f t="shared" si="5"/>
        <v>0</v>
      </c>
      <c r="T25" s="447">
        <f t="shared" si="5"/>
        <v>0</v>
      </c>
      <c r="U25" s="447">
        <f t="shared" si="5"/>
        <v>7</v>
      </c>
    </row>
    <row r="26" spans="1:21" ht="15" customHeight="1" x14ac:dyDescent="0.25">
      <c r="A26" s="428"/>
      <c r="B26" s="422"/>
      <c r="C26" s="422"/>
      <c r="D26" s="429"/>
      <c r="E26" s="422"/>
      <c r="F26" s="429"/>
      <c r="G26" s="433"/>
      <c r="H26" s="422"/>
    </row>
    <row r="27" spans="1:21" x14ac:dyDescent="0.25">
      <c r="A27" s="739" t="s">
        <v>1228</v>
      </c>
      <c r="B27" s="739"/>
      <c r="G27" s="420"/>
    </row>
    <row r="28" spans="1:21" ht="30" x14ac:dyDescent="0.25">
      <c r="A28" s="449" t="s">
        <v>1</v>
      </c>
      <c r="B28" s="449" t="s">
        <v>59</v>
      </c>
      <c r="C28" s="425" t="s">
        <v>1222</v>
      </c>
      <c r="D28" s="425" t="s">
        <v>1223</v>
      </c>
      <c r="E28" s="425" t="s">
        <v>392</v>
      </c>
      <c r="F28" s="426" t="s">
        <v>2</v>
      </c>
      <c r="G28" s="432" t="s">
        <v>1225</v>
      </c>
      <c r="H28" s="427" t="s">
        <v>1224</v>
      </c>
      <c r="I28" s="424" t="s">
        <v>681</v>
      </c>
      <c r="J28" s="424" t="s">
        <v>77</v>
      </c>
      <c r="K28" s="424" t="s">
        <v>682</v>
      </c>
      <c r="L28" s="424" t="s">
        <v>683</v>
      </c>
      <c r="M28" s="424" t="s">
        <v>87</v>
      </c>
      <c r="N28" s="424" t="s">
        <v>684</v>
      </c>
      <c r="O28" s="424" t="s">
        <v>685</v>
      </c>
      <c r="P28" s="424" t="s">
        <v>690</v>
      </c>
      <c r="Q28" s="424" t="s">
        <v>686</v>
      </c>
      <c r="R28" s="424" t="s">
        <v>687</v>
      </c>
      <c r="S28" s="424" t="s">
        <v>688</v>
      </c>
      <c r="T28" s="424" t="s">
        <v>689</v>
      </c>
      <c r="U28" s="424" t="s">
        <v>1238</v>
      </c>
    </row>
    <row r="29" spans="1:21" ht="30" x14ac:dyDescent="0.25">
      <c r="A29" s="458" t="s">
        <v>1247</v>
      </c>
      <c r="B29" s="24" t="s">
        <v>60</v>
      </c>
      <c r="C29" s="430">
        <v>42066</v>
      </c>
      <c r="D29" s="431">
        <v>42068</v>
      </c>
      <c r="E29" s="421">
        <f>D29-C29</f>
        <v>2</v>
      </c>
      <c r="F29" s="431">
        <v>42125</v>
      </c>
      <c r="G29" s="421">
        <v>1</v>
      </c>
      <c r="H29" s="28">
        <v>2174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v>1</v>
      </c>
      <c r="T29" s="24"/>
      <c r="U29" s="24">
        <v>1</v>
      </c>
    </row>
    <row r="30" spans="1:21" ht="15" customHeight="1" x14ac:dyDescent="0.25">
      <c r="A30" s="27" t="s">
        <v>1258</v>
      </c>
      <c r="B30" s="24" t="s">
        <v>115</v>
      </c>
      <c r="C30" s="430">
        <v>41778</v>
      </c>
      <c r="D30" s="431">
        <v>42065</v>
      </c>
      <c r="E30" s="421">
        <v>300</v>
      </c>
      <c r="F30" s="431">
        <v>42125</v>
      </c>
      <c r="G30" s="421">
        <v>1</v>
      </c>
      <c r="H30" s="28">
        <v>1300</v>
      </c>
      <c r="I30" s="24"/>
      <c r="J30" s="24"/>
      <c r="K30" s="24"/>
      <c r="L30" s="24"/>
      <c r="M30" s="24"/>
      <c r="N30" s="24"/>
      <c r="O30" s="24">
        <v>1</v>
      </c>
      <c r="P30" s="24"/>
      <c r="Q30" s="24"/>
      <c r="R30" s="24"/>
      <c r="S30" s="24"/>
      <c r="T30" s="24"/>
      <c r="U30" s="24">
        <f>SUM(I30:T30)</f>
        <v>1</v>
      </c>
    </row>
    <row r="31" spans="1:21" ht="15" customHeight="1" x14ac:dyDescent="0.25">
      <c r="A31" s="27" t="s">
        <v>253</v>
      </c>
      <c r="B31" s="24" t="s">
        <v>115</v>
      </c>
      <c r="C31" s="430">
        <v>42114</v>
      </c>
      <c r="D31" s="431">
        <v>42132</v>
      </c>
      <c r="E31" s="421">
        <v>18</v>
      </c>
      <c r="F31" s="431">
        <v>42132</v>
      </c>
      <c r="G31" s="421">
        <v>1</v>
      </c>
      <c r="H31" s="28">
        <v>2174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>
        <v>1</v>
      </c>
      <c r="T31" s="24"/>
      <c r="U31" s="24">
        <f t="shared" ref="U31:U35" si="6">SUM(I31:T31)</f>
        <v>1</v>
      </c>
    </row>
    <row r="32" spans="1:21" ht="15" customHeight="1" x14ac:dyDescent="0.25">
      <c r="A32" s="27" t="s">
        <v>1185</v>
      </c>
      <c r="B32" s="24" t="s">
        <v>115</v>
      </c>
      <c r="C32" s="430">
        <v>42075</v>
      </c>
      <c r="D32" s="431">
        <v>42131</v>
      </c>
      <c r="E32" s="421">
        <v>55</v>
      </c>
      <c r="F32" s="431">
        <v>42139</v>
      </c>
      <c r="G32" s="421">
        <v>1</v>
      </c>
      <c r="H32" s="28">
        <v>1550</v>
      </c>
      <c r="I32" s="24"/>
      <c r="J32" s="24"/>
      <c r="K32" s="24"/>
      <c r="L32" s="24"/>
      <c r="M32" s="24">
        <v>1</v>
      </c>
      <c r="N32" s="24"/>
      <c r="O32" s="24"/>
      <c r="P32" s="24"/>
      <c r="Q32" s="24"/>
      <c r="R32" s="24"/>
      <c r="S32" s="24"/>
      <c r="T32" s="24"/>
      <c r="U32" s="24">
        <f>SUM(I32:T32)</f>
        <v>1</v>
      </c>
    </row>
    <row r="33" spans="1:21" ht="15" customHeight="1" x14ac:dyDescent="0.25">
      <c r="A33" s="27" t="s">
        <v>1172</v>
      </c>
      <c r="B33" s="24" t="s">
        <v>1293</v>
      </c>
      <c r="C33" s="430">
        <v>42136</v>
      </c>
      <c r="D33" s="431">
        <v>42138</v>
      </c>
      <c r="E33" s="421">
        <v>2</v>
      </c>
      <c r="F33" s="431">
        <v>42138</v>
      </c>
      <c r="G33" s="421">
        <v>1</v>
      </c>
      <c r="H33" s="28">
        <v>1595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1</v>
      </c>
      <c r="T33" s="24"/>
      <c r="U33" s="24">
        <f t="shared" si="6"/>
        <v>1</v>
      </c>
    </row>
    <row r="34" spans="1:21" ht="15" customHeight="1" x14ac:dyDescent="0.25">
      <c r="A34" s="27"/>
      <c r="B34" s="24"/>
      <c r="C34" s="430"/>
      <c r="D34" s="431"/>
      <c r="E34" s="421"/>
      <c r="F34" s="431"/>
      <c r="G34" s="421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 t="shared" si="6"/>
        <v>0</v>
      </c>
    </row>
    <row r="35" spans="1:21" ht="15" customHeight="1" x14ac:dyDescent="0.25">
      <c r="A35" s="27"/>
      <c r="B35" s="24"/>
      <c r="C35" s="430"/>
      <c r="D35" s="431"/>
      <c r="E35" s="421"/>
      <c r="F35" s="431"/>
      <c r="G35" s="421"/>
      <c r="H35" s="28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f t="shared" si="6"/>
        <v>0</v>
      </c>
    </row>
    <row r="36" spans="1:21" ht="15" customHeight="1" x14ac:dyDescent="0.25">
      <c r="A36" s="443" t="s">
        <v>450</v>
      </c>
      <c r="B36" s="444"/>
      <c r="C36" s="445"/>
      <c r="D36" s="446"/>
      <c r="E36" s="447"/>
      <c r="F36" s="446"/>
      <c r="G36" s="447">
        <f t="shared" ref="G36:U36" si="7">SUM(G29:G35)</f>
        <v>5</v>
      </c>
      <c r="H36" s="448">
        <f t="shared" si="7"/>
        <v>8793</v>
      </c>
      <c r="I36" s="447">
        <f t="shared" si="7"/>
        <v>0</v>
      </c>
      <c r="J36" s="447">
        <f t="shared" si="7"/>
        <v>0</v>
      </c>
      <c r="K36" s="447">
        <f t="shared" si="7"/>
        <v>0</v>
      </c>
      <c r="L36" s="447">
        <f t="shared" si="7"/>
        <v>0</v>
      </c>
      <c r="M36" s="447">
        <f t="shared" si="7"/>
        <v>1</v>
      </c>
      <c r="N36" s="447">
        <f t="shared" si="7"/>
        <v>0</v>
      </c>
      <c r="O36" s="447">
        <f t="shared" si="7"/>
        <v>1</v>
      </c>
      <c r="P36" s="447">
        <f t="shared" si="7"/>
        <v>0</v>
      </c>
      <c r="Q36" s="447">
        <f t="shared" si="7"/>
        <v>0</v>
      </c>
      <c r="R36" s="447">
        <f t="shared" si="7"/>
        <v>0</v>
      </c>
      <c r="S36" s="447">
        <f t="shared" si="7"/>
        <v>3</v>
      </c>
      <c r="T36" s="447">
        <f t="shared" si="7"/>
        <v>0</v>
      </c>
      <c r="U36" s="447">
        <f t="shared" si="7"/>
        <v>5</v>
      </c>
    </row>
    <row r="38" spans="1:21" x14ac:dyDescent="0.25">
      <c r="A38" s="739" t="s">
        <v>1229</v>
      </c>
      <c r="B38" s="739"/>
    </row>
    <row r="39" spans="1:21" ht="30" x14ac:dyDescent="0.25">
      <c r="A39" s="449" t="s">
        <v>1</v>
      </c>
      <c r="B39" s="449" t="s">
        <v>59</v>
      </c>
      <c r="C39" s="425"/>
      <c r="D39" s="425"/>
      <c r="E39" s="425"/>
      <c r="F39" s="426"/>
      <c r="G39" s="432" t="s">
        <v>1225</v>
      </c>
      <c r="H39" s="427" t="s">
        <v>1224</v>
      </c>
      <c r="I39" s="424" t="s">
        <v>681</v>
      </c>
      <c r="J39" s="424" t="s">
        <v>77</v>
      </c>
      <c r="K39" s="424" t="s">
        <v>682</v>
      </c>
      <c r="L39" s="424" t="s">
        <v>683</v>
      </c>
      <c r="M39" s="424" t="s">
        <v>87</v>
      </c>
      <c r="N39" s="424" t="s">
        <v>684</v>
      </c>
      <c r="O39" s="424" t="s">
        <v>685</v>
      </c>
      <c r="P39" s="424" t="s">
        <v>690</v>
      </c>
      <c r="Q39" s="424" t="s">
        <v>686</v>
      </c>
      <c r="R39" s="424" t="s">
        <v>687</v>
      </c>
      <c r="S39" s="424" t="s">
        <v>688</v>
      </c>
      <c r="T39" s="424" t="s">
        <v>689</v>
      </c>
      <c r="U39" s="424" t="s">
        <v>1238</v>
      </c>
    </row>
    <row r="40" spans="1:21" ht="15" customHeight="1" x14ac:dyDescent="0.25">
      <c r="A40" s="27"/>
      <c r="B40" s="24"/>
      <c r="C40" s="430"/>
      <c r="D40" s="431"/>
      <c r="E40" s="421"/>
      <c r="F40" s="431"/>
      <c r="G40" s="421"/>
      <c r="H40" s="2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27"/>
      <c r="B41" s="24"/>
      <c r="C41" s="430"/>
      <c r="D41" s="431"/>
      <c r="E41" s="421"/>
      <c r="F41" s="431"/>
      <c r="G41" s="421"/>
      <c r="H41" s="2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>
        <f>SUM(I41:T41)</f>
        <v>0</v>
      </c>
    </row>
    <row r="42" spans="1:21" ht="15" customHeight="1" x14ac:dyDescent="0.25">
      <c r="A42" s="27"/>
      <c r="B42" s="24"/>
      <c r="C42" s="430"/>
      <c r="D42" s="431"/>
      <c r="E42" s="421"/>
      <c r="F42" s="431"/>
      <c r="G42" s="421"/>
      <c r="H42" s="2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f>SUM(I42:T42)</f>
        <v>0</v>
      </c>
    </row>
    <row r="43" spans="1:21" ht="15" customHeight="1" x14ac:dyDescent="0.25">
      <c r="A43" s="443" t="s">
        <v>1230</v>
      </c>
      <c r="B43" s="444"/>
      <c r="C43" s="445"/>
      <c r="D43" s="446"/>
      <c r="E43" s="447"/>
      <c r="F43" s="446"/>
      <c r="G43" s="447">
        <f t="shared" ref="G43:U43" si="8">SUM(G40:G42)</f>
        <v>0</v>
      </c>
      <c r="H43" s="448">
        <f t="shared" si="8"/>
        <v>0</v>
      </c>
      <c r="I43" s="447">
        <f t="shared" si="8"/>
        <v>0</v>
      </c>
      <c r="J43" s="447">
        <f t="shared" si="8"/>
        <v>0</v>
      </c>
      <c r="K43" s="447">
        <f t="shared" si="8"/>
        <v>0</v>
      </c>
      <c r="L43" s="447">
        <f t="shared" si="8"/>
        <v>0</v>
      </c>
      <c r="M43" s="447">
        <f t="shared" si="8"/>
        <v>0</v>
      </c>
      <c r="N43" s="447">
        <f t="shared" si="8"/>
        <v>0</v>
      </c>
      <c r="O43" s="447">
        <f t="shared" si="8"/>
        <v>0</v>
      </c>
      <c r="P43" s="447">
        <f t="shared" si="8"/>
        <v>0</v>
      </c>
      <c r="Q43" s="447">
        <f t="shared" si="8"/>
        <v>0</v>
      </c>
      <c r="R43" s="447">
        <f t="shared" si="8"/>
        <v>0</v>
      </c>
      <c r="S43" s="447">
        <f t="shared" si="8"/>
        <v>0</v>
      </c>
      <c r="T43" s="447">
        <f t="shared" si="8"/>
        <v>0</v>
      </c>
      <c r="U43" s="447">
        <f t="shared" si="8"/>
        <v>0</v>
      </c>
    </row>
    <row r="45" spans="1:21" x14ac:dyDescent="0.25">
      <c r="A45" s="739" t="s">
        <v>1231</v>
      </c>
      <c r="B45" s="739"/>
    </row>
    <row r="46" spans="1:21" ht="30" x14ac:dyDescent="0.25">
      <c r="A46" s="449" t="s">
        <v>1</v>
      </c>
      <c r="B46" s="449" t="s">
        <v>59</v>
      </c>
      <c r="C46" s="425" t="s">
        <v>1222</v>
      </c>
      <c r="D46" s="425" t="s">
        <v>1223</v>
      </c>
      <c r="E46" s="425" t="s">
        <v>392</v>
      </c>
      <c r="F46" s="426" t="s">
        <v>2</v>
      </c>
      <c r="G46" s="432" t="s">
        <v>1225</v>
      </c>
      <c r="H46" s="427" t="s">
        <v>1224</v>
      </c>
      <c r="I46" s="424" t="s">
        <v>681</v>
      </c>
      <c r="J46" s="424" t="s">
        <v>77</v>
      </c>
      <c r="K46" s="424" t="s">
        <v>682</v>
      </c>
      <c r="L46" s="424" t="s">
        <v>683</v>
      </c>
      <c r="M46" s="424" t="s">
        <v>87</v>
      </c>
      <c r="N46" s="424" t="s">
        <v>684</v>
      </c>
      <c r="O46" s="424" t="s">
        <v>685</v>
      </c>
      <c r="P46" s="424" t="s">
        <v>690</v>
      </c>
      <c r="Q46" s="424" t="s">
        <v>686</v>
      </c>
      <c r="R46" s="424" t="s">
        <v>687</v>
      </c>
      <c r="S46" s="424" t="s">
        <v>688</v>
      </c>
      <c r="T46" s="424" t="s">
        <v>689</v>
      </c>
      <c r="U46" s="424" t="s">
        <v>1238</v>
      </c>
    </row>
    <row r="47" spans="1:21" ht="15" customHeight="1" x14ac:dyDescent="0.25">
      <c r="A47" s="27"/>
      <c r="B47" s="24"/>
      <c r="C47" s="430"/>
      <c r="D47" s="431"/>
      <c r="E47" s="421"/>
      <c r="F47" s="431"/>
      <c r="G47" s="421"/>
      <c r="H47" s="28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f t="shared" ref="U47:U49" si="9">SUM(I47:T47)</f>
        <v>0</v>
      </c>
    </row>
    <row r="48" spans="1:21" ht="15" customHeight="1" x14ac:dyDescent="0.25">
      <c r="A48" s="27"/>
      <c r="B48" s="24"/>
      <c r="C48" s="430"/>
      <c r="D48" s="431"/>
      <c r="E48" s="421"/>
      <c r="F48" s="431"/>
      <c r="G48" s="421"/>
      <c r="H48" s="28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f t="shared" si="9"/>
        <v>0</v>
      </c>
    </row>
    <row r="49" spans="1:21" ht="15" customHeight="1" x14ac:dyDescent="0.25">
      <c r="A49" s="27"/>
      <c r="B49" s="24"/>
      <c r="C49" s="430"/>
      <c r="D49" s="431"/>
      <c r="E49" s="421"/>
      <c r="F49" s="431"/>
      <c r="G49" s="421"/>
      <c r="H49" s="28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>
        <f t="shared" si="9"/>
        <v>0</v>
      </c>
    </row>
    <row r="50" spans="1:21" ht="15" customHeight="1" x14ac:dyDescent="0.25">
      <c r="A50" s="443" t="s">
        <v>1230</v>
      </c>
      <c r="B50" s="444"/>
      <c r="C50" s="445"/>
      <c r="D50" s="446"/>
      <c r="E50" s="447"/>
      <c r="F50" s="446"/>
      <c r="G50" s="447">
        <f>SUM(G47:G49)</f>
        <v>0</v>
      </c>
      <c r="H50" s="448">
        <f>SUM(H47:H49)</f>
        <v>0</v>
      </c>
      <c r="I50" s="447">
        <f t="shared" ref="I50:U50" si="10">SUM(I47:I49)</f>
        <v>0</v>
      </c>
      <c r="J50" s="447">
        <f t="shared" si="10"/>
        <v>0</v>
      </c>
      <c r="K50" s="447">
        <f t="shared" si="10"/>
        <v>0</v>
      </c>
      <c r="L50" s="447">
        <f t="shared" si="10"/>
        <v>0</v>
      </c>
      <c r="M50" s="447">
        <f t="shared" si="10"/>
        <v>0</v>
      </c>
      <c r="N50" s="447">
        <f t="shared" si="10"/>
        <v>0</v>
      </c>
      <c r="O50" s="447">
        <f t="shared" si="10"/>
        <v>0</v>
      </c>
      <c r="P50" s="447">
        <f t="shared" si="10"/>
        <v>0</v>
      </c>
      <c r="Q50" s="447">
        <f t="shared" si="10"/>
        <v>0</v>
      </c>
      <c r="R50" s="447">
        <f t="shared" si="10"/>
        <v>0</v>
      </c>
      <c r="S50" s="447">
        <f t="shared" si="10"/>
        <v>0</v>
      </c>
      <c r="T50" s="447">
        <f t="shared" si="10"/>
        <v>0</v>
      </c>
      <c r="U50" s="447">
        <f t="shared" si="10"/>
        <v>0</v>
      </c>
    </row>
    <row r="51" spans="1:21" ht="15.75" thickBot="1" x14ac:dyDescent="0.3"/>
    <row r="52" spans="1:21" ht="15.75" thickBot="1" x14ac:dyDescent="0.3">
      <c r="A52" s="436" t="s">
        <v>1232</v>
      </c>
      <c r="B52" s="434"/>
      <c r="C52" s="434"/>
      <c r="D52" s="434"/>
      <c r="E52" s="434"/>
      <c r="F52" s="434"/>
      <c r="G52" s="437">
        <f t="shared" ref="G52:U52" si="11">G15+G25+G36+G43+G50</f>
        <v>13</v>
      </c>
      <c r="H52" s="438">
        <f t="shared" si="11"/>
        <v>20313</v>
      </c>
      <c r="I52" s="450">
        <f t="shared" si="11"/>
        <v>2</v>
      </c>
      <c r="J52" s="450">
        <f t="shared" si="11"/>
        <v>0</v>
      </c>
      <c r="K52" s="450">
        <f t="shared" si="11"/>
        <v>2</v>
      </c>
      <c r="L52" s="450">
        <f t="shared" si="11"/>
        <v>0</v>
      </c>
      <c r="M52" s="450">
        <f t="shared" si="11"/>
        <v>2</v>
      </c>
      <c r="N52" s="450">
        <f t="shared" si="11"/>
        <v>2</v>
      </c>
      <c r="O52" s="450">
        <f t="shared" si="11"/>
        <v>1</v>
      </c>
      <c r="P52" s="450">
        <f t="shared" si="11"/>
        <v>1</v>
      </c>
      <c r="Q52" s="450">
        <f t="shared" si="11"/>
        <v>0</v>
      </c>
      <c r="R52" s="450">
        <f t="shared" si="11"/>
        <v>0</v>
      </c>
      <c r="S52" s="450">
        <f t="shared" si="11"/>
        <v>3</v>
      </c>
      <c r="T52" s="450">
        <f t="shared" si="11"/>
        <v>0</v>
      </c>
      <c r="U52" s="450">
        <f t="shared" si="11"/>
        <v>13</v>
      </c>
    </row>
    <row r="53" spans="1:21" ht="15.75" thickBot="1" x14ac:dyDescent="0.3">
      <c r="A53" s="436" t="s">
        <v>64</v>
      </c>
      <c r="B53" s="434"/>
      <c r="C53" s="434"/>
      <c r="D53" s="434"/>
      <c r="E53" s="434"/>
      <c r="F53" s="434"/>
      <c r="G53" s="437"/>
      <c r="H53" s="438"/>
    </row>
    <row r="54" spans="1:21" ht="15.75" thickBot="1" x14ac:dyDescent="0.3">
      <c r="A54" s="439" t="s">
        <v>452</v>
      </c>
      <c r="B54" s="440"/>
      <c r="C54" s="440"/>
      <c r="D54" s="440"/>
      <c r="E54" s="440"/>
      <c r="F54" s="440"/>
      <c r="G54" s="441"/>
      <c r="H54" s="442">
        <f>H52-H53</f>
        <v>20313</v>
      </c>
    </row>
    <row r="57" spans="1:21" x14ac:dyDescent="0.25">
      <c r="H57" s="435"/>
    </row>
  </sheetData>
  <mergeCells count="8">
    <mergeCell ref="G3:H3"/>
    <mergeCell ref="A17:B17"/>
    <mergeCell ref="A27:B27"/>
    <mergeCell ref="A38:B38"/>
    <mergeCell ref="A45:B45"/>
    <mergeCell ref="A3:B3"/>
    <mergeCell ref="C3:D3"/>
    <mergeCell ref="E3:F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/>
  </sheetPr>
  <dimension ref="A1:U91"/>
  <sheetViews>
    <sheetView topLeftCell="A75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7" width="11.85546875" style="419" customWidth="1"/>
    <col min="8" max="8" width="13.2851562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1356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6" t="s">
        <v>320</v>
      </c>
      <c r="B5" s="6" t="s">
        <v>115</v>
      </c>
      <c r="C5" s="9">
        <v>4</v>
      </c>
      <c r="D5" s="414">
        <v>8185</v>
      </c>
      <c r="E5" s="24">
        <v>4</v>
      </c>
      <c r="F5" s="414">
        <v>8900</v>
      </c>
      <c r="G5" s="24">
        <f t="shared" ref="G5:G24" si="0">E5-C5</f>
        <v>0</v>
      </c>
      <c r="H5" s="414">
        <f t="shared" ref="H5:H24" si="1">F5-D5</f>
        <v>715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24" si="2">SUM(I5:T5)</f>
        <v>0</v>
      </c>
    </row>
    <row r="6" spans="1:21" ht="14.45" customHeight="1" x14ac:dyDescent="0.25">
      <c r="A6" s="9" t="s">
        <v>331</v>
      </c>
      <c r="B6" s="6" t="s">
        <v>115</v>
      </c>
      <c r="C6" s="9">
        <v>4</v>
      </c>
      <c r="D6" s="414">
        <v>6090</v>
      </c>
      <c r="E6" s="24">
        <v>4</v>
      </c>
      <c r="F6" s="414">
        <v>6265</v>
      </c>
      <c r="G6" s="24">
        <f t="shared" si="0"/>
        <v>0</v>
      </c>
      <c r="H6" s="414">
        <f t="shared" si="1"/>
        <v>175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2"/>
        <v>0</v>
      </c>
    </row>
    <row r="7" spans="1:21" ht="14.45" customHeight="1" x14ac:dyDescent="0.25">
      <c r="A7" s="9" t="s">
        <v>175</v>
      </c>
      <c r="B7" s="9" t="s">
        <v>60</v>
      </c>
      <c r="C7" s="9">
        <v>4</v>
      </c>
      <c r="D7" s="414">
        <v>7035</v>
      </c>
      <c r="E7" s="24">
        <v>4</v>
      </c>
      <c r="F7" s="414">
        <v>6700</v>
      </c>
      <c r="G7" s="24">
        <f t="shared" si="0"/>
        <v>0</v>
      </c>
      <c r="H7" s="414">
        <f t="shared" si="1"/>
        <v>-335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2"/>
        <v>0</v>
      </c>
    </row>
    <row r="8" spans="1:21" ht="14.45" customHeight="1" x14ac:dyDescent="0.25">
      <c r="A8" s="9" t="s">
        <v>198</v>
      </c>
      <c r="B8" s="6" t="s">
        <v>60</v>
      </c>
      <c r="C8" s="9">
        <v>7</v>
      </c>
      <c r="D8" s="414">
        <v>12002</v>
      </c>
      <c r="E8" s="24">
        <v>7</v>
      </c>
      <c r="F8" s="414">
        <v>12254</v>
      </c>
      <c r="G8" s="24">
        <f t="shared" si="0"/>
        <v>0</v>
      </c>
      <c r="H8" s="414">
        <f t="shared" si="1"/>
        <v>252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2"/>
        <v>0</v>
      </c>
    </row>
    <row r="9" spans="1:21" ht="14.45" customHeight="1" x14ac:dyDescent="0.25">
      <c r="A9" s="9" t="s">
        <v>26</v>
      </c>
      <c r="B9" s="6" t="s">
        <v>60</v>
      </c>
      <c r="C9" s="9">
        <v>6</v>
      </c>
      <c r="D9" s="414">
        <v>15825</v>
      </c>
      <c r="E9" s="24">
        <v>6</v>
      </c>
      <c r="F9" s="414">
        <f>14085+1550</f>
        <v>15635</v>
      </c>
      <c r="G9" s="24">
        <f t="shared" si="0"/>
        <v>0</v>
      </c>
      <c r="H9" s="414">
        <f t="shared" si="1"/>
        <v>-190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2"/>
        <v>0</v>
      </c>
    </row>
    <row r="10" spans="1:21" ht="14.45" customHeight="1" x14ac:dyDescent="0.25">
      <c r="A10" s="9" t="s">
        <v>359</v>
      </c>
      <c r="B10" s="9" t="s">
        <v>1293</v>
      </c>
      <c r="C10" s="9">
        <v>7</v>
      </c>
      <c r="D10" s="414">
        <v>13050</v>
      </c>
      <c r="E10" s="24">
        <v>7</v>
      </c>
      <c r="F10" s="414">
        <v>13365</v>
      </c>
      <c r="G10" s="24">
        <f t="shared" si="0"/>
        <v>0</v>
      </c>
      <c r="H10" s="414">
        <f t="shared" si="1"/>
        <v>315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2"/>
        <v>0</v>
      </c>
    </row>
    <row r="11" spans="1:21" ht="14.45" customHeight="1" x14ac:dyDescent="0.25">
      <c r="A11" s="22" t="s">
        <v>279</v>
      </c>
      <c r="B11" s="9" t="s">
        <v>1293</v>
      </c>
      <c r="C11" s="9">
        <v>6</v>
      </c>
      <c r="D11" s="414">
        <v>9300</v>
      </c>
      <c r="E11" s="24">
        <v>6</v>
      </c>
      <c r="F11" s="414">
        <v>9570</v>
      </c>
      <c r="G11" s="24">
        <f t="shared" si="0"/>
        <v>0</v>
      </c>
      <c r="H11" s="414">
        <f t="shared" si="1"/>
        <v>270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si="2"/>
        <v>0</v>
      </c>
    </row>
    <row r="12" spans="1:21" ht="14.45" customHeight="1" x14ac:dyDescent="0.25">
      <c r="A12" s="9" t="s">
        <v>332</v>
      </c>
      <c r="B12" s="9" t="s">
        <v>115</v>
      </c>
      <c r="C12" s="9">
        <v>9</v>
      </c>
      <c r="D12" s="414">
        <v>9300</v>
      </c>
      <c r="E12" s="24">
        <v>9</v>
      </c>
      <c r="F12" s="414">
        <v>9499</v>
      </c>
      <c r="G12" s="24">
        <f t="shared" si="0"/>
        <v>0</v>
      </c>
      <c r="H12" s="414">
        <f t="shared" si="1"/>
        <v>199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2"/>
        <v>0</v>
      </c>
    </row>
    <row r="13" spans="1:21" ht="14.45" customHeight="1" x14ac:dyDescent="0.25">
      <c r="A13" s="9" t="s">
        <v>101</v>
      </c>
      <c r="B13" s="9" t="s">
        <v>115</v>
      </c>
      <c r="C13" s="9">
        <v>8</v>
      </c>
      <c r="D13" s="414">
        <v>8925</v>
      </c>
      <c r="E13" s="24">
        <v>8</v>
      </c>
      <c r="F13" s="414">
        <v>10458</v>
      </c>
      <c r="G13" s="24">
        <f t="shared" si="0"/>
        <v>0</v>
      </c>
      <c r="H13" s="414">
        <f t="shared" si="1"/>
        <v>1533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2"/>
        <v>0</v>
      </c>
    </row>
    <row r="14" spans="1:21" ht="15" customHeight="1" x14ac:dyDescent="0.25">
      <c r="A14" s="9" t="s">
        <v>334</v>
      </c>
      <c r="B14" s="9" t="s">
        <v>115</v>
      </c>
      <c r="C14" s="9">
        <v>10</v>
      </c>
      <c r="D14" s="414">
        <v>17200</v>
      </c>
      <c r="E14" s="24">
        <v>10</v>
      </c>
      <c r="F14" s="414">
        <v>18323</v>
      </c>
      <c r="G14" s="24">
        <f t="shared" si="0"/>
        <v>0</v>
      </c>
      <c r="H14" s="414">
        <f t="shared" si="1"/>
        <v>1123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2"/>
        <v>0</v>
      </c>
    </row>
    <row r="15" spans="1:21" ht="14.45" customHeight="1" x14ac:dyDescent="0.25">
      <c r="A15" s="9" t="s">
        <v>102</v>
      </c>
      <c r="B15" s="9" t="s">
        <v>115</v>
      </c>
      <c r="C15" s="9">
        <v>2</v>
      </c>
      <c r="D15" s="414">
        <v>2700</v>
      </c>
      <c r="E15" s="24">
        <v>2</v>
      </c>
      <c r="F15" s="414">
        <v>697</v>
      </c>
      <c r="G15" s="24">
        <f t="shared" si="0"/>
        <v>0</v>
      </c>
      <c r="H15" s="414">
        <f t="shared" si="1"/>
        <v>-2003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si="2"/>
        <v>0</v>
      </c>
    </row>
    <row r="16" spans="1:21" ht="14.45" customHeight="1" x14ac:dyDescent="0.25">
      <c r="A16" s="9" t="s">
        <v>337</v>
      </c>
      <c r="B16" s="9" t="s">
        <v>115</v>
      </c>
      <c r="C16" s="9">
        <v>7</v>
      </c>
      <c r="D16" s="414">
        <v>5550</v>
      </c>
      <c r="E16" s="24">
        <v>7</v>
      </c>
      <c r="F16" s="414">
        <v>5229</v>
      </c>
      <c r="G16" s="24">
        <f t="shared" si="0"/>
        <v>0</v>
      </c>
      <c r="H16" s="414">
        <f t="shared" si="1"/>
        <v>-321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f t="shared" si="2"/>
        <v>0</v>
      </c>
    </row>
    <row r="17" spans="1:21" ht="14.45" customHeight="1" x14ac:dyDescent="0.25">
      <c r="A17" s="9" t="s">
        <v>333</v>
      </c>
      <c r="B17" s="9" t="s">
        <v>115</v>
      </c>
      <c r="C17" s="9">
        <v>6</v>
      </c>
      <c r="D17" s="414">
        <v>5250</v>
      </c>
      <c r="E17" s="24">
        <v>7</v>
      </c>
      <c r="F17" s="414">
        <v>5229</v>
      </c>
      <c r="G17" s="24">
        <f t="shared" si="0"/>
        <v>1</v>
      </c>
      <c r="H17" s="414">
        <f t="shared" si="1"/>
        <v>-21</v>
      </c>
      <c r="I17" s="24"/>
      <c r="J17" s="24"/>
      <c r="K17" s="24"/>
      <c r="L17" s="24"/>
      <c r="M17" s="24"/>
      <c r="N17" s="24"/>
      <c r="O17" s="24"/>
      <c r="P17" s="24"/>
      <c r="Q17" s="24">
        <v>1</v>
      </c>
      <c r="R17" s="24"/>
      <c r="S17" s="24"/>
      <c r="T17" s="24"/>
      <c r="U17" s="24">
        <f t="shared" si="2"/>
        <v>1</v>
      </c>
    </row>
    <row r="18" spans="1:21" ht="14.45" customHeight="1" x14ac:dyDescent="0.25">
      <c r="A18" s="6" t="s">
        <v>244</v>
      </c>
      <c r="B18" s="6" t="s">
        <v>1293</v>
      </c>
      <c r="C18" s="9">
        <v>8</v>
      </c>
      <c r="D18" s="414">
        <v>10868</v>
      </c>
      <c r="E18" s="24">
        <v>8</v>
      </c>
      <c r="F18" s="414">
        <v>12060</v>
      </c>
      <c r="G18" s="24">
        <f t="shared" si="0"/>
        <v>0</v>
      </c>
      <c r="H18" s="414">
        <f t="shared" si="1"/>
        <v>1192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f t="shared" si="2"/>
        <v>0</v>
      </c>
    </row>
    <row r="19" spans="1:21" ht="14.45" customHeight="1" x14ac:dyDescent="0.25">
      <c r="A19" s="9" t="s">
        <v>368</v>
      </c>
      <c r="B19" s="9" t="s">
        <v>60</v>
      </c>
      <c r="C19" s="9">
        <v>2</v>
      </c>
      <c r="D19" s="414">
        <v>1275</v>
      </c>
      <c r="E19" s="24">
        <v>2</v>
      </c>
      <c r="F19" s="414">
        <v>1339</v>
      </c>
      <c r="G19" s="24">
        <f t="shared" si="0"/>
        <v>0</v>
      </c>
      <c r="H19" s="414">
        <f t="shared" si="1"/>
        <v>64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f t="shared" si="2"/>
        <v>0</v>
      </c>
    </row>
    <row r="20" spans="1:21" ht="14.45" customHeight="1" x14ac:dyDescent="0.25">
      <c r="A20" s="9" t="s">
        <v>365</v>
      </c>
      <c r="B20" s="9" t="s">
        <v>60</v>
      </c>
      <c r="C20" s="9">
        <v>8</v>
      </c>
      <c r="D20" s="414">
        <v>6900</v>
      </c>
      <c r="E20" s="24">
        <v>8</v>
      </c>
      <c r="F20" s="414">
        <v>7245</v>
      </c>
      <c r="G20" s="24">
        <f t="shared" si="0"/>
        <v>0</v>
      </c>
      <c r="H20" s="414">
        <f t="shared" si="1"/>
        <v>345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 t="shared" si="2"/>
        <v>0</v>
      </c>
    </row>
    <row r="21" spans="1:21" ht="14.45" customHeight="1" x14ac:dyDescent="0.25">
      <c r="A21" s="9" t="s">
        <v>367</v>
      </c>
      <c r="B21" s="9" t="s">
        <v>60</v>
      </c>
      <c r="C21" s="9">
        <v>3</v>
      </c>
      <c r="D21" s="414">
        <v>1875</v>
      </c>
      <c r="E21" s="24">
        <v>3</v>
      </c>
      <c r="F21" s="414">
        <v>1969</v>
      </c>
      <c r="G21" s="24">
        <f t="shared" si="0"/>
        <v>0</v>
      </c>
      <c r="H21" s="414">
        <f t="shared" si="1"/>
        <v>94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si="2"/>
        <v>0</v>
      </c>
    </row>
    <row r="22" spans="1:21" ht="14.45" customHeight="1" x14ac:dyDescent="0.25">
      <c r="A22" s="9" t="s">
        <v>364</v>
      </c>
      <c r="B22" s="9" t="s">
        <v>60</v>
      </c>
      <c r="C22" s="9">
        <v>10</v>
      </c>
      <c r="D22" s="414">
        <v>12075</v>
      </c>
      <c r="E22" s="24">
        <v>10</v>
      </c>
      <c r="F22" s="414">
        <v>12679</v>
      </c>
      <c r="G22" s="24">
        <f t="shared" si="0"/>
        <v>0</v>
      </c>
      <c r="H22" s="414">
        <f t="shared" si="1"/>
        <v>604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2"/>
        <v>0</v>
      </c>
    </row>
    <row r="23" spans="1:21" ht="14.45" customHeight="1" x14ac:dyDescent="0.25">
      <c r="A23" s="9" t="s">
        <v>366</v>
      </c>
      <c r="B23" s="9" t="s">
        <v>60</v>
      </c>
      <c r="C23" s="9">
        <v>4</v>
      </c>
      <c r="D23" s="414">
        <v>3525</v>
      </c>
      <c r="E23" s="24">
        <v>4</v>
      </c>
      <c r="F23" s="414">
        <v>5901</v>
      </c>
      <c r="G23" s="24">
        <f t="shared" si="0"/>
        <v>0</v>
      </c>
      <c r="H23" s="414">
        <f t="shared" si="1"/>
        <v>2376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2"/>
        <v>0</v>
      </c>
    </row>
    <row r="24" spans="1:21" ht="15" customHeight="1" x14ac:dyDescent="0.25">
      <c r="A24" s="9" t="s">
        <v>363</v>
      </c>
      <c r="B24" s="9" t="s">
        <v>60</v>
      </c>
      <c r="C24" s="9">
        <v>10</v>
      </c>
      <c r="D24" s="414">
        <v>17200</v>
      </c>
      <c r="E24" s="24">
        <v>10</v>
      </c>
      <c r="F24" s="414">
        <v>17950</v>
      </c>
      <c r="G24" s="24">
        <f t="shared" si="0"/>
        <v>0</v>
      </c>
      <c r="H24" s="414">
        <f t="shared" si="1"/>
        <v>750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2"/>
        <v>0</v>
      </c>
    </row>
    <row r="25" spans="1:21" ht="14.45" customHeight="1" x14ac:dyDescent="0.25">
      <c r="A25" s="9" t="s">
        <v>343</v>
      </c>
      <c r="B25" s="9" t="s">
        <v>1349</v>
      </c>
      <c r="C25" s="9"/>
      <c r="D25" s="414"/>
      <c r="E25" s="24"/>
      <c r="F25" s="414"/>
      <c r="G25" s="24"/>
      <c r="H25" s="414">
        <v>-6165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4.45" customHeight="1" x14ac:dyDescent="0.25">
      <c r="A26" s="9" t="s">
        <v>185</v>
      </c>
      <c r="B26" s="9" t="s">
        <v>1349</v>
      </c>
      <c r="C26" s="9"/>
      <c r="D26" s="414"/>
      <c r="E26" s="24"/>
      <c r="F26" s="414"/>
      <c r="G26" s="24"/>
      <c r="H26" s="414">
        <v>-2820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4.45" customHeight="1" x14ac:dyDescent="0.25">
      <c r="A27" s="9" t="s">
        <v>186</v>
      </c>
      <c r="B27" s="9" t="s">
        <v>1349</v>
      </c>
      <c r="C27" s="9"/>
      <c r="D27" s="414"/>
      <c r="E27" s="24"/>
      <c r="F27" s="414"/>
      <c r="G27" s="24"/>
      <c r="H27" s="414">
        <v>-1415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4.45" customHeight="1" x14ac:dyDescent="0.25">
      <c r="A28" s="23" t="s">
        <v>312</v>
      </c>
      <c r="B28" s="6" t="s">
        <v>1293</v>
      </c>
      <c r="C28" s="9">
        <v>6</v>
      </c>
      <c r="D28" s="414">
        <v>7350</v>
      </c>
      <c r="E28" s="24">
        <v>5</v>
      </c>
      <c r="F28" s="414">
        <v>4430</v>
      </c>
      <c r="G28" s="24">
        <f t="shared" ref="G28:G36" si="3">E28-C28</f>
        <v>-1</v>
      </c>
      <c r="H28" s="414">
        <f t="shared" ref="H28:H36" si="4">F28-D28</f>
        <v>-2920</v>
      </c>
      <c r="I28" s="24"/>
      <c r="J28" s="24"/>
      <c r="K28" s="24"/>
      <c r="L28" s="24"/>
      <c r="M28" s="24"/>
      <c r="N28" s="24">
        <v>-1</v>
      </c>
      <c r="O28" s="24"/>
      <c r="P28" s="24"/>
      <c r="Q28" s="24"/>
      <c r="R28" s="24"/>
      <c r="S28" s="24"/>
      <c r="T28" s="24"/>
      <c r="U28" s="24">
        <f t="shared" ref="U28:U36" si="5">SUM(I28:T28)</f>
        <v>-1</v>
      </c>
    </row>
    <row r="29" spans="1:21" ht="14.45" customHeight="1" x14ac:dyDescent="0.25">
      <c r="A29" s="9" t="s">
        <v>361</v>
      </c>
      <c r="B29" s="9" t="s">
        <v>1293</v>
      </c>
      <c r="C29" s="9">
        <v>11</v>
      </c>
      <c r="D29" s="414">
        <v>17050</v>
      </c>
      <c r="E29" s="24">
        <v>7</v>
      </c>
      <c r="F29" s="414">
        <v>11165</v>
      </c>
      <c r="G29" s="24">
        <f t="shared" si="3"/>
        <v>-4</v>
      </c>
      <c r="H29" s="414">
        <f t="shared" si="4"/>
        <v>-5885</v>
      </c>
      <c r="I29" s="24"/>
      <c r="J29" s="24">
        <v>-1</v>
      </c>
      <c r="K29" s="24"/>
      <c r="L29" s="24"/>
      <c r="M29" s="24">
        <v>-1</v>
      </c>
      <c r="N29" s="24"/>
      <c r="O29" s="24">
        <v>-1</v>
      </c>
      <c r="P29" s="24"/>
      <c r="Q29" s="24">
        <v>-1</v>
      </c>
      <c r="R29" s="24"/>
      <c r="S29" s="24"/>
      <c r="T29" s="24"/>
      <c r="U29" s="24">
        <f t="shared" si="5"/>
        <v>-4</v>
      </c>
    </row>
    <row r="30" spans="1:21" ht="14.45" customHeight="1" x14ac:dyDescent="0.25">
      <c r="A30" s="26" t="s">
        <v>323</v>
      </c>
      <c r="B30" s="6" t="s">
        <v>115</v>
      </c>
      <c r="C30" s="9">
        <v>9</v>
      </c>
      <c r="D30" s="414">
        <v>14122.5</v>
      </c>
      <c r="E30" s="24">
        <v>9</v>
      </c>
      <c r="F30" s="414">
        <v>14783</v>
      </c>
      <c r="G30" s="24">
        <f t="shared" si="3"/>
        <v>0</v>
      </c>
      <c r="H30" s="414">
        <f t="shared" si="4"/>
        <v>660.5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f t="shared" si="5"/>
        <v>0</v>
      </c>
    </row>
    <row r="31" spans="1:21" ht="14.45" customHeight="1" x14ac:dyDescent="0.25">
      <c r="A31" s="9" t="s">
        <v>1308</v>
      </c>
      <c r="B31" s="9" t="s">
        <v>60</v>
      </c>
      <c r="C31" s="9">
        <v>8</v>
      </c>
      <c r="D31" s="414">
        <v>11624</v>
      </c>
      <c r="E31" s="24">
        <v>8</v>
      </c>
      <c r="F31" s="414">
        <v>11669</v>
      </c>
      <c r="G31" s="24">
        <f t="shared" si="3"/>
        <v>0</v>
      </c>
      <c r="H31" s="414">
        <f t="shared" si="4"/>
        <v>45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f t="shared" si="5"/>
        <v>0</v>
      </c>
    </row>
    <row r="32" spans="1:21" ht="14.45" customHeight="1" x14ac:dyDescent="0.25">
      <c r="A32" s="6" t="s">
        <v>271</v>
      </c>
      <c r="B32" s="6" t="s">
        <v>1293</v>
      </c>
      <c r="C32" s="9">
        <v>6</v>
      </c>
      <c r="D32" s="414">
        <v>8295</v>
      </c>
      <c r="E32" s="24">
        <v>6</v>
      </c>
      <c r="F32" s="414">
        <v>8535</v>
      </c>
      <c r="G32" s="24">
        <f t="shared" si="3"/>
        <v>0</v>
      </c>
      <c r="H32" s="414">
        <f t="shared" si="4"/>
        <v>240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 t="shared" si="5"/>
        <v>0</v>
      </c>
    </row>
    <row r="33" spans="1:21" ht="14.45" customHeight="1" x14ac:dyDescent="0.25">
      <c r="A33" s="6" t="s">
        <v>230</v>
      </c>
      <c r="B33" s="6" t="s">
        <v>60</v>
      </c>
      <c r="C33" s="9">
        <v>7</v>
      </c>
      <c r="D33" s="414">
        <v>10962</v>
      </c>
      <c r="E33" s="24">
        <v>7</v>
      </c>
      <c r="F33" s="414">
        <v>8069</v>
      </c>
      <c r="G33" s="24">
        <f t="shared" si="3"/>
        <v>0</v>
      </c>
      <c r="H33" s="414">
        <f t="shared" si="4"/>
        <v>-2893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f t="shared" si="5"/>
        <v>0</v>
      </c>
    </row>
    <row r="34" spans="1:21" ht="14.45" customHeight="1" x14ac:dyDescent="0.25">
      <c r="A34" s="6" t="s">
        <v>229</v>
      </c>
      <c r="B34" s="6" t="s">
        <v>60</v>
      </c>
      <c r="C34" s="9">
        <v>7</v>
      </c>
      <c r="D34" s="414">
        <v>12474</v>
      </c>
      <c r="E34" s="24">
        <v>7</v>
      </c>
      <c r="F34" s="414">
        <v>12834</v>
      </c>
      <c r="G34" s="24">
        <f t="shared" si="3"/>
        <v>0</v>
      </c>
      <c r="H34" s="414">
        <f t="shared" si="4"/>
        <v>360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 t="shared" si="5"/>
        <v>0</v>
      </c>
    </row>
    <row r="35" spans="1:21" ht="14.45" customHeight="1" x14ac:dyDescent="0.25">
      <c r="A35" s="22" t="s">
        <v>292</v>
      </c>
      <c r="B35" s="9" t="s">
        <v>60</v>
      </c>
      <c r="C35" s="9">
        <v>2</v>
      </c>
      <c r="D35" s="414">
        <v>4190</v>
      </c>
      <c r="E35" s="24">
        <v>2</v>
      </c>
      <c r="F35" s="414">
        <v>4360</v>
      </c>
      <c r="G35" s="24">
        <f t="shared" si="3"/>
        <v>0</v>
      </c>
      <c r="H35" s="414">
        <f t="shared" si="4"/>
        <v>170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f t="shared" si="5"/>
        <v>0</v>
      </c>
    </row>
    <row r="36" spans="1:21" ht="14.45" customHeight="1" x14ac:dyDescent="0.25">
      <c r="A36" s="6" t="s">
        <v>362</v>
      </c>
      <c r="B36" s="6" t="s">
        <v>115</v>
      </c>
      <c r="C36" s="9">
        <v>3</v>
      </c>
      <c r="D36" s="414">
        <v>4650</v>
      </c>
      <c r="E36" s="24">
        <v>3</v>
      </c>
      <c r="F36" s="414">
        <v>4785</v>
      </c>
      <c r="G36" s="24">
        <f t="shared" si="3"/>
        <v>0</v>
      </c>
      <c r="H36" s="414">
        <f t="shared" si="4"/>
        <v>135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f t="shared" si="5"/>
        <v>0</v>
      </c>
    </row>
    <row r="37" spans="1:21" ht="15" hidden="1" customHeight="1" x14ac:dyDescent="0.25">
      <c r="A37" s="24"/>
      <c r="B37" s="24"/>
      <c r="C37" s="24"/>
      <c r="D37" s="414"/>
      <c r="E37" s="24"/>
      <c r="F37" s="414"/>
      <c r="G37" s="24">
        <f t="shared" ref="G37" si="6">E37-C37</f>
        <v>0</v>
      </c>
      <c r="H37" s="414">
        <f t="shared" ref="H37" si="7">F37-D37</f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f t="shared" ref="U37" si="8">SUM(I37:T37)</f>
        <v>0</v>
      </c>
    </row>
    <row r="38" spans="1:21" ht="14.45" hidden="1" customHeight="1" x14ac:dyDescent="0.25">
      <c r="A38" s="9"/>
      <c r="B38" s="6"/>
      <c r="C38" s="6"/>
      <c r="D38" s="414"/>
      <c r="E38" s="24"/>
      <c r="F38" s="414"/>
      <c r="G38" s="24">
        <f t="shared" ref="G38:H43" si="9">E38-C38</f>
        <v>0</v>
      </c>
      <c r="H38" s="414">
        <f t="shared" si="9"/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>
        <f t="shared" ref="U38:U43" si="10">SUM(I38:T38)</f>
        <v>0</v>
      </c>
    </row>
    <row r="39" spans="1:21" ht="14.45" hidden="1" customHeight="1" x14ac:dyDescent="0.25">
      <c r="A39" s="9"/>
      <c r="B39" s="6"/>
      <c r="C39" s="6"/>
      <c r="D39" s="414"/>
      <c r="E39" s="24"/>
      <c r="F39" s="414"/>
      <c r="G39" s="24">
        <f t="shared" si="9"/>
        <v>0</v>
      </c>
      <c r="H39" s="414">
        <f t="shared" si="9"/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>
        <f t="shared" si="10"/>
        <v>0</v>
      </c>
    </row>
    <row r="40" spans="1:21" ht="14.45" hidden="1" customHeight="1" x14ac:dyDescent="0.25">
      <c r="A40" s="24"/>
      <c r="B40" s="9"/>
      <c r="C40" s="9"/>
      <c r="D40" s="414"/>
      <c r="E40" s="24"/>
      <c r="F40" s="414"/>
      <c r="G40" s="24">
        <f t="shared" si="9"/>
        <v>0</v>
      </c>
      <c r="H40" s="414">
        <f t="shared" si="9"/>
        <v>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 t="shared" si="10"/>
        <v>0</v>
      </c>
    </row>
    <row r="41" spans="1:21" ht="14.45" hidden="1" customHeight="1" x14ac:dyDescent="0.25">
      <c r="A41" s="9"/>
      <c r="B41" s="9"/>
      <c r="C41" s="9"/>
      <c r="D41" s="414"/>
      <c r="E41" s="24"/>
      <c r="F41" s="414"/>
      <c r="G41" s="24">
        <f t="shared" si="9"/>
        <v>0</v>
      </c>
      <c r="H41" s="414">
        <f t="shared" si="9"/>
        <v>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>
        <f t="shared" si="10"/>
        <v>0</v>
      </c>
    </row>
    <row r="42" spans="1:21" ht="14.45" hidden="1" customHeight="1" x14ac:dyDescent="0.25">
      <c r="A42" s="6"/>
      <c r="B42" s="6"/>
      <c r="C42" s="6"/>
      <c r="D42" s="414"/>
      <c r="E42" s="24"/>
      <c r="F42" s="414"/>
      <c r="G42" s="24">
        <f t="shared" si="9"/>
        <v>0</v>
      </c>
      <c r="H42" s="414">
        <f t="shared" si="9"/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f t="shared" si="10"/>
        <v>0</v>
      </c>
    </row>
    <row r="43" spans="1:21" ht="14.45" hidden="1" customHeight="1" x14ac:dyDescent="0.25">
      <c r="A43" s="6"/>
      <c r="B43" s="6"/>
      <c r="C43" s="6"/>
      <c r="D43" s="414"/>
      <c r="E43" s="24"/>
      <c r="F43" s="414"/>
      <c r="G43" s="24">
        <f t="shared" si="9"/>
        <v>0</v>
      </c>
      <c r="H43" s="414">
        <f t="shared" si="9"/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 t="shared" si="10"/>
        <v>0</v>
      </c>
    </row>
    <row r="44" spans="1:21" ht="14.45" hidden="1" customHeight="1" x14ac:dyDescent="0.25">
      <c r="A44" s="24"/>
      <c r="B44" s="24"/>
      <c r="C44" s="24"/>
      <c r="D44" s="414"/>
      <c r="E44" s="24"/>
      <c r="F44" s="414"/>
      <c r="G44" s="24">
        <f t="shared" ref="G44:H47" si="11">E44-C44</f>
        <v>0</v>
      </c>
      <c r="H44" s="414">
        <f t="shared" si="11"/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f t="shared" ref="U44:U47" si="12">SUM(I44:T44)</f>
        <v>0</v>
      </c>
    </row>
    <row r="45" spans="1:21" ht="14.45" hidden="1" customHeight="1" x14ac:dyDescent="0.25">
      <c r="A45" s="24"/>
      <c r="B45" s="24"/>
      <c r="C45" s="24"/>
      <c r="D45" s="414"/>
      <c r="E45" s="24"/>
      <c r="F45" s="414"/>
      <c r="G45" s="24">
        <f t="shared" si="11"/>
        <v>0</v>
      </c>
      <c r="H45" s="414">
        <f t="shared" si="11"/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>
        <f t="shared" si="12"/>
        <v>0</v>
      </c>
    </row>
    <row r="46" spans="1:21" ht="14.45" hidden="1" customHeight="1" x14ac:dyDescent="0.25">
      <c r="A46" s="24"/>
      <c r="B46" s="24"/>
      <c r="C46" s="24"/>
      <c r="D46" s="414"/>
      <c r="E46" s="24"/>
      <c r="F46" s="414"/>
      <c r="G46" s="24">
        <f t="shared" si="11"/>
        <v>0</v>
      </c>
      <c r="H46" s="414">
        <f t="shared" si="11"/>
        <v>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>
        <f t="shared" si="12"/>
        <v>0</v>
      </c>
    </row>
    <row r="47" spans="1:21" ht="15" hidden="1" customHeight="1" x14ac:dyDescent="0.25">
      <c r="A47" s="24"/>
      <c r="B47" s="24"/>
      <c r="C47" s="24"/>
      <c r="D47" s="414"/>
      <c r="E47" s="24"/>
      <c r="F47" s="414"/>
      <c r="G47" s="24">
        <f t="shared" si="11"/>
        <v>0</v>
      </c>
      <c r="H47" s="414">
        <f t="shared" si="11"/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f t="shared" si="12"/>
        <v>0</v>
      </c>
    </row>
    <row r="48" spans="1:21" ht="15" customHeight="1" x14ac:dyDescent="0.25">
      <c r="A48" s="443" t="s">
        <v>1221</v>
      </c>
      <c r="B48" s="444"/>
      <c r="C48" s="467">
        <f>SUM(C5:C47)</f>
        <v>184</v>
      </c>
      <c r="D48" s="466">
        <f t="shared" ref="D48:E48" si="13">SUM(D5:D47)</f>
        <v>264847.5</v>
      </c>
      <c r="E48" s="467">
        <f t="shared" si="13"/>
        <v>180</v>
      </c>
      <c r="F48" s="466">
        <f t="shared" ref="F48:G48" si="14">SUM(F5:F47)</f>
        <v>261897</v>
      </c>
      <c r="G48" s="467">
        <f t="shared" si="14"/>
        <v>-4</v>
      </c>
      <c r="H48" s="466">
        <f t="shared" ref="H48" si="15">SUM(H5:H47)</f>
        <v>-13350.5</v>
      </c>
      <c r="I48" s="447">
        <f t="shared" ref="I48:U48" si="16">SUM(I38:I47)</f>
        <v>0</v>
      </c>
      <c r="J48" s="447">
        <f t="shared" si="16"/>
        <v>0</v>
      </c>
      <c r="K48" s="447">
        <f t="shared" si="16"/>
        <v>0</v>
      </c>
      <c r="L48" s="447">
        <f t="shared" si="16"/>
        <v>0</v>
      </c>
      <c r="M48" s="447">
        <f t="shared" si="16"/>
        <v>0</v>
      </c>
      <c r="N48" s="447">
        <f t="shared" si="16"/>
        <v>0</v>
      </c>
      <c r="O48" s="447">
        <f t="shared" si="16"/>
        <v>0</v>
      </c>
      <c r="P48" s="447">
        <f t="shared" si="16"/>
        <v>0</v>
      </c>
      <c r="Q48" s="447">
        <f t="shared" si="16"/>
        <v>0</v>
      </c>
      <c r="R48" s="447">
        <f t="shared" si="16"/>
        <v>0</v>
      </c>
      <c r="S48" s="447">
        <f t="shared" si="16"/>
        <v>0</v>
      </c>
      <c r="T48" s="447">
        <f t="shared" si="16"/>
        <v>0</v>
      </c>
      <c r="U48" s="447">
        <f t="shared" si="16"/>
        <v>0</v>
      </c>
    </row>
    <row r="50" spans="1:21" x14ac:dyDescent="0.25">
      <c r="A50" s="739" t="s">
        <v>1227</v>
      </c>
      <c r="B50" s="739"/>
    </row>
    <row r="51" spans="1:21" ht="30" x14ac:dyDescent="0.25">
      <c r="A51" s="449" t="s">
        <v>1</v>
      </c>
      <c r="B51" s="449" t="s">
        <v>59</v>
      </c>
      <c r="C51" s="425" t="s">
        <v>1222</v>
      </c>
      <c r="D51" s="425" t="s">
        <v>1223</v>
      </c>
      <c r="E51" s="425" t="s">
        <v>392</v>
      </c>
      <c r="F51" s="426" t="s">
        <v>2</v>
      </c>
      <c r="G51" s="432" t="s">
        <v>1225</v>
      </c>
      <c r="H51" s="427" t="s">
        <v>1224</v>
      </c>
      <c r="I51" s="424" t="s">
        <v>681</v>
      </c>
      <c r="J51" s="424" t="s">
        <v>77</v>
      </c>
      <c r="K51" s="424" t="s">
        <v>682</v>
      </c>
      <c r="L51" s="424" t="s">
        <v>683</v>
      </c>
      <c r="M51" s="424" t="s">
        <v>87</v>
      </c>
      <c r="N51" s="424" t="s">
        <v>684</v>
      </c>
      <c r="O51" s="424" t="s">
        <v>685</v>
      </c>
      <c r="P51" s="424" t="s">
        <v>690</v>
      </c>
      <c r="Q51" s="424" t="s">
        <v>686</v>
      </c>
      <c r="R51" s="424" t="s">
        <v>687</v>
      </c>
      <c r="S51" s="424" t="s">
        <v>688</v>
      </c>
      <c r="T51" s="424" t="s">
        <v>689</v>
      </c>
      <c r="U51" s="424" t="s">
        <v>1238</v>
      </c>
    </row>
    <row r="52" spans="1:21" ht="15" customHeight="1" x14ac:dyDescent="0.25">
      <c r="A52" s="27" t="s">
        <v>1316</v>
      </c>
      <c r="B52" s="24" t="s">
        <v>115</v>
      </c>
      <c r="C52" s="430">
        <v>42053</v>
      </c>
      <c r="D52" s="431">
        <v>42163</v>
      </c>
      <c r="E52" s="421">
        <v>120</v>
      </c>
      <c r="F52" s="431">
        <v>42125</v>
      </c>
      <c r="G52" s="421">
        <v>1</v>
      </c>
      <c r="H52" s="28">
        <v>1595</v>
      </c>
      <c r="I52" s="24"/>
      <c r="J52" s="24"/>
      <c r="K52" s="24"/>
      <c r="L52" s="24"/>
      <c r="M52" s="24">
        <v>1</v>
      </c>
      <c r="N52" s="24"/>
      <c r="O52" s="24"/>
      <c r="P52" s="24"/>
      <c r="Q52" s="24"/>
      <c r="R52" s="24"/>
      <c r="S52" s="24"/>
      <c r="T52" s="24"/>
      <c r="U52" s="24">
        <f t="shared" ref="U52:U57" si="17">SUM(I52:T52)</f>
        <v>1</v>
      </c>
    </row>
    <row r="53" spans="1:21" ht="15" customHeight="1" x14ac:dyDescent="0.25">
      <c r="A53" s="27" t="s">
        <v>1343</v>
      </c>
      <c r="B53" s="24" t="s">
        <v>60</v>
      </c>
      <c r="C53" s="430">
        <v>41919</v>
      </c>
      <c r="D53" s="431">
        <v>42167</v>
      </c>
      <c r="E53" s="421">
        <v>245</v>
      </c>
      <c r="F53" s="431">
        <v>42167</v>
      </c>
      <c r="G53" s="421">
        <v>3</v>
      </c>
      <c r="H53" s="28">
        <v>4650</v>
      </c>
      <c r="I53" s="24">
        <v>1</v>
      </c>
      <c r="J53" s="24"/>
      <c r="K53" s="24">
        <v>1</v>
      </c>
      <c r="L53" s="24"/>
      <c r="M53" s="24"/>
      <c r="N53" s="24">
        <v>1</v>
      </c>
      <c r="O53" s="24"/>
      <c r="P53" s="24"/>
      <c r="Q53" s="24"/>
      <c r="R53" s="24"/>
      <c r="S53" s="24"/>
      <c r="T53" s="24"/>
      <c r="U53" s="24">
        <f t="shared" ref="U53" si="18">SUM(I53:T53)</f>
        <v>3</v>
      </c>
    </row>
    <row r="54" spans="1:21" ht="15" customHeight="1" x14ac:dyDescent="0.25">
      <c r="A54" s="27" t="s">
        <v>1348</v>
      </c>
      <c r="B54" s="24" t="s">
        <v>1349</v>
      </c>
      <c r="C54" s="430"/>
      <c r="D54" s="431"/>
      <c r="E54" s="421"/>
      <c r="F54" s="431">
        <v>42156</v>
      </c>
      <c r="G54" s="421">
        <v>87</v>
      </c>
      <c r="H54" s="28">
        <v>67425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5" customHeight="1" x14ac:dyDescent="0.25">
      <c r="A55" s="27"/>
      <c r="B55" s="24"/>
      <c r="C55" s="430"/>
      <c r="D55" s="431"/>
      <c r="E55" s="421"/>
      <c r="F55" s="431"/>
      <c r="G55" s="421"/>
      <c r="H55" s="28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>
        <f t="shared" si="17"/>
        <v>0</v>
      </c>
    </row>
    <row r="56" spans="1:21" ht="15" customHeight="1" x14ac:dyDescent="0.25">
      <c r="A56" s="27"/>
      <c r="B56" s="24"/>
      <c r="C56" s="430"/>
      <c r="D56" s="431"/>
      <c r="E56" s="421"/>
      <c r="F56" s="431"/>
      <c r="G56" s="421"/>
      <c r="H56" s="28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>
        <f t="shared" si="17"/>
        <v>0</v>
      </c>
    </row>
    <row r="57" spans="1:21" ht="15" customHeight="1" x14ac:dyDescent="0.25">
      <c r="A57" s="27"/>
      <c r="B57" s="24"/>
      <c r="C57" s="430"/>
      <c r="D57" s="431"/>
      <c r="E57" s="421"/>
      <c r="F57" s="431"/>
      <c r="G57" s="421"/>
      <c r="H57" s="28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>
        <f t="shared" si="17"/>
        <v>0</v>
      </c>
    </row>
    <row r="58" spans="1:21" ht="15" customHeight="1" x14ac:dyDescent="0.25">
      <c r="A58" s="443" t="s">
        <v>1226</v>
      </c>
      <c r="B58" s="444"/>
      <c r="C58" s="445"/>
      <c r="D58" s="446"/>
      <c r="E58" s="447"/>
      <c r="F58" s="446"/>
      <c r="G58" s="447">
        <f>SUM(G52:G57)</f>
        <v>91</v>
      </c>
      <c r="H58" s="448">
        <f>SUM(H52:H57)</f>
        <v>73670</v>
      </c>
      <c r="I58" s="447">
        <f t="shared" ref="I58:U58" si="19">SUM(I52:I57)</f>
        <v>1</v>
      </c>
      <c r="J58" s="447">
        <f t="shared" si="19"/>
        <v>0</v>
      </c>
      <c r="K58" s="447">
        <f t="shared" si="19"/>
        <v>1</v>
      </c>
      <c r="L58" s="447">
        <f t="shared" si="19"/>
        <v>0</v>
      </c>
      <c r="M58" s="447">
        <f t="shared" si="19"/>
        <v>1</v>
      </c>
      <c r="N58" s="447">
        <f t="shared" si="19"/>
        <v>1</v>
      </c>
      <c r="O58" s="447">
        <f t="shared" si="19"/>
        <v>0</v>
      </c>
      <c r="P58" s="447">
        <f t="shared" si="19"/>
        <v>0</v>
      </c>
      <c r="Q58" s="447">
        <f t="shared" si="19"/>
        <v>0</v>
      </c>
      <c r="R58" s="447">
        <f t="shared" si="19"/>
        <v>0</v>
      </c>
      <c r="S58" s="447">
        <f t="shared" si="19"/>
        <v>0</v>
      </c>
      <c r="T58" s="447">
        <f t="shared" si="19"/>
        <v>0</v>
      </c>
      <c r="U58" s="447">
        <f t="shared" si="19"/>
        <v>4</v>
      </c>
    </row>
    <row r="59" spans="1:21" ht="15" customHeight="1" x14ac:dyDescent="0.25">
      <c r="A59" s="428"/>
      <c r="B59" s="422"/>
      <c r="C59" s="422"/>
      <c r="D59" s="429"/>
      <c r="E59" s="422"/>
      <c r="F59" s="429"/>
      <c r="G59" s="433"/>
      <c r="H59" s="422"/>
    </row>
    <row r="60" spans="1:21" x14ac:dyDescent="0.25">
      <c r="A60" s="739" t="s">
        <v>1228</v>
      </c>
      <c r="B60" s="739"/>
      <c r="G60" s="420"/>
    </row>
    <row r="61" spans="1:21" ht="30" x14ac:dyDescent="0.25">
      <c r="A61" s="449" t="s">
        <v>1</v>
      </c>
      <c r="B61" s="449" t="s">
        <v>59</v>
      </c>
      <c r="C61" s="425" t="s">
        <v>1222</v>
      </c>
      <c r="D61" s="425" t="s">
        <v>1223</v>
      </c>
      <c r="E61" s="425" t="s">
        <v>392</v>
      </c>
      <c r="F61" s="426" t="s">
        <v>2</v>
      </c>
      <c r="G61" s="432" t="s">
        <v>1225</v>
      </c>
      <c r="H61" s="427" t="s">
        <v>1224</v>
      </c>
      <c r="I61" s="424" t="s">
        <v>681</v>
      </c>
      <c r="J61" s="424" t="s">
        <v>77</v>
      </c>
      <c r="K61" s="424" t="s">
        <v>682</v>
      </c>
      <c r="L61" s="424" t="s">
        <v>683</v>
      </c>
      <c r="M61" s="424" t="s">
        <v>87</v>
      </c>
      <c r="N61" s="424" t="s">
        <v>684</v>
      </c>
      <c r="O61" s="424" t="s">
        <v>685</v>
      </c>
      <c r="P61" s="424" t="s">
        <v>690</v>
      </c>
      <c r="Q61" s="424" t="s">
        <v>686</v>
      </c>
      <c r="R61" s="424" t="s">
        <v>687</v>
      </c>
      <c r="S61" s="424" t="s">
        <v>688</v>
      </c>
      <c r="T61" s="424" t="s">
        <v>689</v>
      </c>
      <c r="U61" s="424" t="s">
        <v>1238</v>
      </c>
    </row>
    <row r="62" spans="1:21" ht="15" customHeight="1" x14ac:dyDescent="0.25">
      <c r="A62" s="27" t="s">
        <v>220</v>
      </c>
      <c r="B62" s="24" t="s">
        <v>115</v>
      </c>
      <c r="C62" s="430">
        <v>42124</v>
      </c>
      <c r="D62" s="431">
        <v>42165</v>
      </c>
      <c r="E62" s="421">
        <v>40</v>
      </c>
      <c r="F62" s="431">
        <v>42005</v>
      </c>
      <c r="G62" s="421">
        <v>2</v>
      </c>
      <c r="H62" s="28">
        <v>3728</v>
      </c>
      <c r="I62" s="24"/>
      <c r="J62" s="24">
        <v>1</v>
      </c>
      <c r="K62" s="24"/>
      <c r="L62" s="24"/>
      <c r="M62" s="24"/>
      <c r="N62" s="24">
        <v>1</v>
      </c>
      <c r="O62" s="24"/>
      <c r="P62" s="24"/>
      <c r="Q62" s="24"/>
      <c r="R62" s="24"/>
      <c r="S62" s="24"/>
      <c r="T62" s="24"/>
      <c r="U62" s="24">
        <f t="shared" ref="U62:U70" si="20">SUM(I62:T62)</f>
        <v>2</v>
      </c>
    </row>
    <row r="63" spans="1:21" ht="15" customHeight="1" x14ac:dyDescent="0.25">
      <c r="A63" s="27"/>
      <c r="B63" s="24"/>
      <c r="C63" s="430"/>
      <c r="D63" s="431"/>
      <c r="E63" s="421"/>
      <c r="F63" s="431"/>
      <c r="G63" s="421"/>
      <c r="H63" s="28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>
        <f t="shared" si="20"/>
        <v>0</v>
      </c>
    </row>
    <row r="64" spans="1:21" ht="15" customHeight="1" x14ac:dyDescent="0.25">
      <c r="A64" s="27"/>
      <c r="B64" s="24"/>
      <c r="C64" s="430"/>
      <c r="D64" s="431"/>
      <c r="E64" s="421"/>
      <c r="F64" s="431"/>
      <c r="G64" s="421"/>
      <c r="H64" s="28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>
        <f t="shared" si="20"/>
        <v>0</v>
      </c>
    </row>
    <row r="65" spans="1:21" ht="15" customHeight="1" x14ac:dyDescent="0.25">
      <c r="A65" s="27"/>
      <c r="B65" s="24"/>
      <c r="C65" s="430"/>
      <c r="D65" s="431"/>
      <c r="E65" s="421"/>
      <c r="F65" s="431"/>
      <c r="G65" s="421"/>
      <c r="H65" s="28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>
        <f t="shared" si="20"/>
        <v>0</v>
      </c>
    </row>
    <row r="66" spans="1:21" ht="15" customHeight="1" x14ac:dyDescent="0.25">
      <c r="A66" s="27"/>
      <c r="B66" s="24"/>
      <c r="C66" s="430"/>
      <c r="D66" s="431"/>
      <c r="E66" s="421"/>
      <c r="F66" s="431"/>
      <c r="G66" s="421"/>
      <c r="H66" s="28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>
        <f t="shared" si="20"/>
        <v>0</v>
      </c>
    </row>
    <row r="67" spans="1:21" ht="15" customHeight="1" x14ac:dyDescent="0.25">
      <c r="A67" s="27"/>
      <c r="B67" s="24"/>
      <c r="C67" s="430"/>
      <c r="D67" s="431"/>
      <c r="E67" s="421"/>
      <c r="F67" s="431"/>
      <c r="G67" s="421"/>
      <c r="H67" s="28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>
        <f t="shared" si="20"/>
        <v>0</v>
      </c>
    </row>
    <row r="68" spans="1:21" ht="15" customHeight="1" x14ac:dyDescent="0.25">
      <c r="A68" s="27"/>
      <c r="B68" s="24"/>
      <c r="C68" s="430"/>
      <c r="D68" s="431"/>
      <c r="E68" s="421"/>
      <c r="F68" s="431"/>
      <c r="G68" s="421"/>
      <c r="H68" s="28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>
        <f t="shared" si="20"/>
        <v>0</v>
      </c>
    </row>
    <row r="69" spans="1:21" ht="15" customHeight="1" x14ac:dyDescent="0.25">
      <c r="A69" s="27"/>
      <c r="B69" s="24"/>
      <c r="C69" s="430"/>
      <c r="D69" s="431"/>
      <c r="E69" s="421"/>
      <c r="F69" s="431"/>
      <c r="G69" s="421"/>
      <c r="H69" s="28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>
        <f t="shared" si="20"/>
        <v>0</v>
      </c>
    </row>
    <row r="70" spans="1:21" ht="15" customHeight="1" x14ac:dyDescent="0.25">
      <c r="A70" s="27"/>
      <c r="B70" s="24"/>
      <c r="C70" s="430"/>
      <c r="D70" s="431"/>
      <c r="E70" s="421"/>
      <c r="F70" s="431"/>
      <c r="G70" s="421"/>
      <c r="H70" s="28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>
        <f t="shared" si="20"/>
        <v>0</v>
      </c>
    </row>
    <row r="71" spans="1:21" ht="15" customHeight="1" x14ac:dyDescent="0.25">
      <c r="A71" s="443" t="s">
        <v>450</v>
      </c>
      <c r="B71" s="444"/>
      <c r="C71" s="445"/>
      <c r="D71" s="446"/>
      <c r="E71" s="447"/>
      <c r="F71" s="446"/>
      <c r="G71" s="447">
        <f>SUM(G62:G70)</f>
        <v>2</v>
      </c>
      <c r="H71" s="448">
        <f>SUM(H62:H70)</f>
        <v>3728</v>
      </c>
      <c r="I71" s="447">
        <f t="shared" ref="I71:U71" si="21">SUM(I62:I70)</f>
        <v>0</v>
      </c>
      <c r="J71" s="447">
        <f t="shared" si="21"/>
        <v>1</v>
      </c>
      <c r="K71" s="447">
        <f t="shared" si="21"/>
        <v>0</v>
      </c>
      <c r="L71" s="447">
        <f t="shared" si="21"/>
        <v>0</v>
      </c>
      <c r="M71" s="447">
        <f t="shared" si="21"/>
        <v>0</v>
      </c>
      <c r="N71" s="447">
        <f t="shared" si="21"/>
        <v>1</v>
      </c>
      <c r="O71" s="447">
        <f t="shared" si="21"/>
        <v>0</v>
      </c>
      <c r="P71" s="447">
        <f t="shared" si="21"/>
        <v>0</v>
      </c>
      <c r="Q71" s="447">
        <f t="shared" si="21"/>
        <v>0</v>
      </c>
      <c r="R71" s="447">
        <f t="shared" si="21"/>
        <v>0</v>
      </c>
      <c r="S71" s="447">
        <f t="shared" si="21"/>
        <v>0</v>
      </c>
      <c r="T71" s="447">
        <f t="shared" si="21"/>
        <v>0</v>
      </c>
      <c r="U71" s="447">
        <f t="shared" si="21"/>
        <v>2</v>
      </c>
    </row>
    <row r="73" spans="1:21" x14ac:dyDescent="0.25">
      <c r="A73" s="739" t="s">
        <v>1229</v>
      </c>
      <c r="B73" s="739"/>
    </row>
    <row r="74" spans="1:21" ht="30" x14ac:dyDescent="0.25">
      <c r="A74" s="449" t="s">
        <v>1</v>
      </c>
      <c r="B74" s="449" t="s">
        <v>59</v>
      </c>
      <c r="C74" s="425"/>
      <c r="D74" s="425"/>
      <c r="E74" s="425"/>
      <c r="F74" s="426"/>
      <c r="G74" s="432" t="s">
        <v>1225</v>
      </c>
      <c r="H74" s="427" t="s">
        <v>1224</v>
      </c>
      <c r="I74" s="424" t="s">
        <v>681</v>
      </c>
      <c r="J74" s="424" t="s">
        <v>77</v>
      </c>
      <c r="K74" s="424" t="s">
        <v>682</v>
      </c>
      <c r="L74" s="424" t="s">
        <v>683</v>
      </c>
      <c r="M74" s="424" t="s">
        <v>87</v>
      </c>
      <c r="N74" s="424" t="s">
        <v>684</v>
      </c>
      <c r="O74" s="424" t="s">
        <v>685</v>
      </c>
      <c r="P74" s="424" t="s">
        <v>690</v>
      </c>
      <c r="Q74" s="424" t="s">
        <v>686</v>
      </c>
      <c r="R74" s="424" t="s">
        <v>687</v>
      </c>
      <c r="S74" s="424" t="s">
        <v>688</v>
      </c>
      <c r="T74" s="424" t="s">
        <v>689</v>
      </c>
      <c r="U74" s="424" t="s">
        <v>1238</v>
      </c>
    </row>
    <row r="75" spans="1:21" ht="15" customHeight="1" x14ac:dyDescent="0.25">
      <c r="A75" s="27" t="s">
        <v>1344</v>
      </c>
      <c r="B75" s="24" t="s">
        <v>60</v>
      </c>
      <c r="C75" s="430">
        <v>42145</v>
      </c>
      <c r="D75" s="431">
        <v>42171</v>
      </c>
      <c r="E75" s="421">
        <v>25</v>
      </c>
      <c r="F75" s="431">
        <v>42170</v>
      </c>
      <c r="G75" s="421">
        <v>-4</v>
      </c>
      <c r="H75" s="28">
        <v>-1548</v>
      </c>
      <c r="I75" s="24"/>
      <c r="J75" s="24"/>
      <c r="K75" s="24"/>
      <c r="L75" s="24">
        <v>-2</v>
      </c>
      <c r="M75" s="24"/>
      <c r="N75" s="24"/>
      <c r="O75" s="24">
        <v>-1</v>
      </c>
      <c r="P75" s="24">
        <v>-1</v>
      </c>
      <c r="Q75" s="24"/>
      <c r="R75" s="24"/>
      <c r="S75" s="24"/>
      <c r="T75" s="24"/>
      <c r="U75" s="24">
        <f t="shared" ref="U75" si="22">SUM(I75:T75)</f>
        <v>-4</v>
      </c>
    </row>
    <row r="76" spans="1:21" ht="15" customHeight="1" x14ac:dyDescent="0.25">
      <c r="A76" s="27" t="s">
        <v>312</v>
      </c>
      <c r="B76" s="24"/>
      <c r="C76" s="430"/>
      <c r="D76" s="431"/>
      <c r="E76" s="421"/>
      <c r="F76" s="431"/>
      <c r="G76" s="421"/>
      <c r="H76" s="28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5" customHeight="1" x14ac:dyDescent="0.25">
      <c r="A77" s="443" t="s">
        <v>1230</v>
      </c>
      <c r="B77" s="444"/>
      <c r="C77" s="445"/>
      <c r="D77" s="446"/>
      <c r="E77" s="447"/>
      <c r="F77" s="446"/>
      <c r="G77" s="447">
        <f t="shared" ref="G77:U77" si="23">SUM(G75:G76)</f>
        <v>-4</v>
      </c>
      <c r="H77" s="448">
        <f t="shared" si="23"/>
        <v>-1548</v>
      </c>
      <c r="I77" s="447">
        <f t="shared" si="23"/>
        <v>0</v>
      </c>
      <c r="J77" s="447">
        <f t="shared" si="23"/>
        <v>0</v>
      </c>
      <c r="K77" s="447">
        <f t="shared" si="23"/>
        <v>0</v>
      </c>
      <c r="L77" s="447">
        <f t="shared" si="23"/>
        <v>-2</v>
      </c>
      <c r="M77" s="447">
        <f t="shared" si="23"/>
        <v>0</v>
      </c>
      <c r="N77" s="447">
        <f t="shared" si="23"/>
        <v>0</v>
      </c>
      <c r="O77" s="447">
        <f t="shared" si="23"/>
        <v>-1</v>
      </c>
      <c r="P77" s="447">
        <f t="shared" si="23"/>
        <v>-1</v>
      </c>
      <c r="Q77" s="447">
        <f t="shared" si="23"/>
        <v>0</v>
      </c>
      <c r="R77" s="447">
        <f t="shared" si="23"/>
        <v>0</v>
      </c>
      <c r="S77" s="447">
        <f t="shared" si="23"/>
        <v>0</v>
      </c>
      <c r="T77" s="447">
        <f t="shared" si="23"/>
        <v>0</v>
      </c>
      <c r="U77" s="447">
        <f t="shared" si="23"/>
        <v>-4</v>
      </c>
    </row>
    <row r="79" spans="1:21" x14ac:dyDescent="0.25">
      <c r="A79" s="739" t="s">
        <v>1231</v>
      </c>
      <c r="B79" s="739"/>
    </row>
    <row r="80" spans="1:21" ht="30" x14ac:dyDescent="0.25">
      <c r="A80" s="449" t="s">
        <v>1</v>
      </c>
      <c r="B80" s="449" t="s">
        <v>59</v>
      </c>
      <c r="C80" s="425" t="s">
        <v>1222</v>
      </c>
      <c r="D80" s="425" t="s">
        <v>1223</v>
      </c>
      <c r="E80" s="425" t="s">
        <v>392</v>
      </c>
      <c r="F80" s="426" t="s">
        <v>2</v>
      </c>
      <c r="G80" s="432" t="s">
        <v>1225</v>
      </c>
      <c r="H80" s="427" t="s">
        <v>1224</v>
      </c>
      <c r="I80" s="424" t="s">
        <v>681</v>
      </c>
      <c r="J80" s="424" t="s">
        <v>77</v>
      </c>
      <c r="K80" s="424" t="s">
        <v>682</v>
      </c>
      <c r="L80" s="424" t="s">
        <v>683</v>
      </c>
      <c r="M80" s="424" t="s">
        <v>87</v>
      </c>
      <c r="N80" s="424" t="s">
        <v>684</v>
      </c>
      <c r="O80" s="424" t="s">
        <v>685</v>
      </c>
      <c r="P80" s="424" t="s">
        <v>690</v>
      </c>
      <c r="Q80" s="424" t="s">
        <v>686</v>
      </c>
      <c r="R80" s="424" t="s">
        <v>687</v>
      </c>
      <c r="S80" s="424" t="s">
        <v>688</v>
      </c>
      <c r="T80" s="424" t="s">
        <v>689</v>
      </c>
      <c r="U80" s="424" t="s">
        <v>1238</v>
      </c>
    </row>
    <row r="81" spans="1:21" ht="15" customHeight="1" x14ac:dyDescent="0.25">
      <c r="A81" s="27" t="s">
        <v>53</v>
      </c>
      <c r="B81" s="24" t="s">
        <v>115</v>
      </c>
      <c r="C81" s="430"/>
      <c r="D81" s="431"/>
      <c r="E81" s="421"/>
      <c r="F81" s="431">
        <v>42537</v>
      </c>
      <c r="G81" s="421">
        <v>-1</v>
      </c>
      <c r="H81" s="28">
        <v>-420</v>
      </c>
      <c r="I81" s="24"/>
      <c r="J81" s="24"/>
      <c r="K81" s="24"/>
      <c r="L81" s="24"/>
      <c r="M81" s="24">
        <v>-1</v>
      </c>
      <c r="N81" s="24"/>
      <c r="O81" s="24"/>
      <c r="P81" s="24"/>
      <c r="Q81" s="24"/>
      <c r="R81" s="24"/>
      <c r="S81" s="24"/>
      <c r="T81" s="24"/>
      <c r="U81" s="24">
        <f t="shared" ref="U81:U83" si="24">SUM(I81:T81)</f>
        <v>-1</v>
      </c>
    </row>
    <row r="82" spans="1:21" ht="15" customHeight="1" x14ac:dyDescent="0.25">
      <c r="A82" s="27"/>
      <c r="B82" s="24"/>
      <c r="C82" s="430"/>
      <c r="D82" s="431"/>
      <c r="E82" s="421"/>
      <c r="F82" s="431"/>
      <c r="G82" s="421"/>
      <c r="H82" s="28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f t="shared" si="24"/>
        <v>0</v>
      </c>
    </row>
    <row r="83" spans="1:21" ht="15" customHeight="1" x14ac:dyDescent="0.25">
      <c r="A83" s="27"/>
      <c r="B83" s="24"/>
      <c r="C83" s="430"/>
      <c r="D83" s="431"/>
      <c r="E83" s="421"/>
      <c r="F83" s="431"/>
      <c r="G83" s="421"/>
      <c r="H83" s="28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f t="shared" si="24"/>
        <v>0</v>
      </c>
    </row>
    <row r="84" spans="1:21" ht="15" customHeight="1" x14ac:dyDescent="0.25">
      <c r="A84" s="443" t="s">
        <v>1230</v>
      </c>
      <c r="B84" s="444"/>
      <c r="C84" s="445"/>
      <c r="D84" s="446"/>
      <c r="E84" s="447"/>
      <c r="F84" s="446"/>
      <c r="G84" s="447">
        <f>SUM(G81:G83)</f>
        <v>-1</v>
      </c>
      <c r="H84" s="448">
        <f>SUM(H81:H83)</f>
        <v>-420</v>
      </c>
      <c r="I84" s="447">
        <f t="shared" ref="I84:U84" si="25">SUM(I81:I83)</f>
        <v>0</v>
      </c>
      <c r="J84" s="447">
        <f t="shared" si="25"/>
        <v>0</v>
      </c>
      <c r="K84" s="447">
        <f t="shared" si="25"/>
        <v>0</v>
      </c>
      <c r="L84" s="447">
        <f t="shared" si="25"/>
        <v>0</v>
      </c>
      <c r="M84" s="447">
        <f t="shared" si="25"/>
        <v>-1</v>
      </c>
      <c r="N84" s="447">
        <f t="shared" si="25"/>
        <v>0</v>
      </c>
      <c r="O84" s="447">
        <f t="shared" si="25"/>
        <v>0</v>
      </c>
      <c r="P84" s="447">
        <f t="shared" si="25"/>
        <v>0</v>
      </c>
      <c r="Q84" s="447">
        <f t="shared" si="25"/>
        <v>0</v>
      </c>
      <c r="R84" s="447">
        <f t="shared" si="25"/>
        <v>0</v>
      </c>
      <c r="S84" s="447">
        <f t="shared" si="25"/>
        <v>0</v>
      </c>
      <c r="T84" s="447">
        <f t="shared" si="25"/>
        <v>0</v>
      </c>
      <c r="U84" s="447">
        <f t="shared" si="25"/>
        <v>-1</v>
      </c>
    </row>
    <row r="85" spans="1:21" ht="15.75" thickBot="1" x14ac:dyDescent="0.3"/>
    <row r="86" spans="1:21" ht="15.75" thickBot="1" x14ac:dyDescent="0.3">
      <c r="A86" s="436" t="s">
        <v>1232</v>
      </c>
      <c r="B86" s="434"/>
      <c r="C86" s="434"/>
      <c r="D86" s="434"/>
      <c r="E86" s="434"/>
      <c r="F86" s="434"/>
      <c r="G86" s="437">
        <f t="shared" ref="G86:U86" si="26">G48+G58+G71+G77+G84</f>
        <v>84</v>
      </c>
      <c r="H86" s="438">
        <f t="shared" si="26"/>
        <v>62079.5</v>
      </c>
      <c r="I86" s="450">
        <f t="shared" si="26"/>
        <v>1</v>
      </c>
      <c r="J86" s="450">
        <f t="shared" si="26"/>
        <v>1</v>
      </c>
      <c r="K86" s="450">
        <f t="shared" si="26"/>
        <v>1</v>
      </c>
      <c r="L86" s="450">
        <f t="shared" si="26"/>
        <v>-2</v>
      </c>
      <c r="M86" s="450">
        <f t="shared" si="26"/>
        <v>0</v>
      </c>
      <c r="N86" s="450">
        <f t="shared" si="26"/>
        <v>2</v>
      </c>
      <c r="O86" s="450">
        <f t="shared" si="26"/>
        <v>-1</v>
      </c>
      <c r="P86" s="450">
        <f t="shared" si="26"/>
        <v>-1</v>
      </c>
      <c r="Q86" s="450">
        <f t="shared" si="26"/>
        <v>0</v>
      </c>
      <c r="R86" s="450">
        <f t="shared" si="26"/>
        <v>0</v>
      </c>
      <c r="S86" s="450">
        <f t="shared" si="26"/>
        <v>0</v>
      </c>
      <c r="T86" s="450">
        <f t="shared" si="26"/>
        <v>0</v>
      </c>
      <c r="U86" s="450">
        <f t="shared" si="26"/>
        <v>1</v>
      </c>
    </row>
    <row r="87" spans="1:21" ht="15.75" thickBot="1" x14ac:dyDescent="0.3">
      <c r="A87" s="436" t="s">
        <v>64</v>
      </c>
      <c r="B87" s="434"/>
      <c r="C87" s="434"/>
      <c r="D87" s="434"/>
      <c r="E87" s="434"/>
      <c r="F87" s="434"/>
      <c r="G87" s="437"/>
      <c r="H87" s="438"/>
    </row>
    <row r="88" spans="1:21" ht="15.75" thickBot="1" x14ac:dyDescent="0.3">
      <c r="A88" s="439" t="s">
        <v>452</v>
      </c>
      <c r="B88" s="440"/>
      <c r="C88" s="440"/>
      <c r="D88" s="440"/>
      <c r="E88" s="440"/>
      <c r="F88" s="440"/>
      <c r="G88" s="441"/>
      <c r="H88" s="442">
        <f>H86-H87</f>
        <v>62079.5</v>
      </c>
    </row>
    <row r="89" spans="1:21" x14ac:dyDescent="0.25">
      <c r="H89" s="435">
        <f>H48+H71+H77+H84</f>
        <v>-11590.5</v>
      </c>
    </row>
    <row r="91" spans="1:21" x14ac:dyDescent="0.25">
      <c r="H91" s="435"/>
    </row>
  </sheetData>
  <sortState ref="A5:U36">
    <sortCondition ref="A5"/>
  </sortState>
  <mergeCells count="8">
    <mergeCell ref="G3:H3"/>
    <mergeCell ref="A50:B50"/>
    <mergeCell ref="A60:B60"/>
    <mergeCell ref="A73:B73"/>
    <mergeCell ref="A79:B79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/>
  </sheetPr>
  <dimension ref="A1:U69"/>
  <sheetViews>
    <sheetView topLeftCell="A45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1357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25" t="s">
        <v>322</v>
      </c>
      <c r="B5" s="6" t="s">
        <v>115</v>
      </c>
      <c r="C5" s="9">
        <v>2</v>
      </c>
      <c r="D5" s="414">
        <v>3100</v>
      </c>
      <c r="E5" s="24">
        <v>2</v>
      </c>
      <c r="F5" s="414">
        <v>3190</v>
      </c>
      <c r="G5" s="24">
        <f t="shared" ref="G5:H17" si="0">E5-C5</f>
        <v>0</v>
      </c>
      <c r="H5" s="414">
        <f t="shared" si="0"/>
        <v>90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8" si="1">SUM(I5:T5)</f>
        <v>0</v>
      </c>
    </row>
    <row r="6" spans="1:21" ht="14.45" customHeight="1" x14ac:dyDescent="0.25">
      <c r="A6" s="22" t="s">
        <v>352</v>
      </c>
      <c r="B6" s="6" t="s">
        <v>115</v>
      </c>
      <c r="C6" s="9">
        <v>3</v>
      </c>
      <c r="D6" s="414">
        <v>4620</v>
      </c>
      <c r="E6" s="24">
        <v>3</v>
      </c>
      <c r="F6" s="414">
        <v>5295</v>
      </c>
      <c r="G6" s="24">
        <f t="shared" ref="G6:G13" si="2">E6-C6</f>
        <v>0</v>
      </c>
      <c r="H6" s="414">
        <f t="shared" ref="H6:H13" si="3">F6-D6</f>
        <v>675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ref="U6:U10" si="4">SUM(I6:T6)</f>
        <v>0</v>
      </c>
    </row>
    <row r="7" spans="1:21" ht="14.45" customHeight="1" x14ac:dyDescent="0.25">
      <c r="A7" s="6" t="s">
        <v>272</v>
      </c>
      <c r="B7" s="6" t="s">
        <v>1293</v>
      </c>
      <c r="C7" s="9">
        <v>3</v>
      </c>
      <c r="D7" s="414">
        <v>5145</v>
      </c>
      <c r="E7" s="24">
        <v>3</v>
      </c>
      <c r="F7" s="414">
        <v>5295</v>
      </c>
      <c r="G7" s="24">
        <f t="shared" si="2"/>
        <v>0</v>
      </c>
      <c r="H7" s="414">
        <f t="shared" si="3"/>
        <v>150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4"/>
        <v>0</v>
      </c>
    </row>
    <row r="8" spans="1:21" ht="14.45" customHeight="1" x14ac:dyDescent="0.25">
      <c r="A8" s="6" t="s">
        <v>311</v>
      </c>
      <c r="B8" s="6" t="s">
        <v>1293</v>
      </c>
      <c r="C8" s="9">
        <v>6</v>
      </c>
      <c r="D8" s="414">
        <v>8820</v>
      </c>
      <c r="E8" s="24">
        <v>6</v>
      </c>
      <c r="F8" s="414">
        <v>9615</v>
      </c>
      <c r="G8" s="24">
        <f t="shared" si="2"/>
        <v>0</v>
      </c>
      <c r="H8" s="414">
        <f t="shared" si="3"/>
        <v>795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4"/>
        <v>0</v>
      </c>
    </row>
    <row r="9" spans="1:21" ht="14.45" customHeight="1" x14ac:dyDescent="0.25">
      <c r="A9" s="6" t="s">
        <v>184</v>
      </c>
      <c r="B9" s="6" t="s">
        <v>1293</v>
      </c>
      <c r="C9" s="9">
        <v>0</v>
      </c>
      <c r="D9" s="414">
        <v>0</v>
      </c>
      <c r="E9" s="24">
        <v>0</v>
      </c>
      <c r="F9" s="414">
        <v>0</v>
      </c>
      <c r="G9" s="24">
        <f t="shared" si="2"/>
        <v>0</v>
      </c>
      <c r="H9" s="414">
        <f t="shared" si="3"/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4"/>
        <v>0</v>
      </c>
    </row>
    <row r="10" spans="1:21" ht="14.45" customHeight="1" x14ac:dyDescent="0.25">
      <c r="A10" s="22" t="s">
        <v>358</v>
      </c>
      <c r="B10" s="9" t="s">
        <v>60</v>
      </c>
      <c r="C10" s="9">
        <v>6</v>
      </c>
      <c r="D10" s="414">
        <v>10266</v>
      </c>
      <c r="E10" s="24">
        <v>6</v>
      </c>
      <c r="F10" s="414">
        <v>12915</v>
      </c>
      <c r="G10" s="24">
        <f t="shared" si="2"/>
        <v>0</v>
      </c>
      <c r="H10" s="414">
        <f t="shared" si="3"/>
        <v>2649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4"/>
        <v>0</v>
      </c>
    </row>
    <row r="11" spans="1:21" ht="14.45" customHeight="1" x14ac:dyDescent="0.25">
      <c r="A11" s="9" t="s">
        <v>369</v>
      </c>
      <c r="B11" s="9" t="s">
        <v>115</v>
      </c>
      <c r="C11" s="9">
        <v>2</v>
      </c>
      <c r="D11" s="414">
        <v>2205</v>
      </c>
      <c r="E11" s="24">
        <v>2</v>
      </c>
      <c r="F11" s="414">
        <v>2810</v>
      </c>
      <c r="G11" s="24">
        <f t="shared" si="2"/>
        <v>0</v>
      </c>
      <c r="H11" s="414">
        <f t="shared" si="3"/>
        <v>605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ref="U11:U13" si="5">SUM(I11:T11)</f>
        <v>0</v>
      </c>
    </row>
    <row r="12" spans="1:21" ht="14.45" customHeight="1" x14ac:dyDescent="0.25">
      <c r="A12" s="6" t="s">
        <v>360</v>
      </c>
      <c r="B12" s="6" t="s">
        <v>60</v>
      </c>
      <c r="C12" s="9">
        <v>3</v>
      </c>
      <c r="D12" s="414">
        <v>5250</v>
      </c>
      <c r="E12" s="24">
        <v>3</v>
      </c>
      <c r="F12" s="414">
        <v>5400</v>
      </c>
      <c r="G12" s="24">
        <f t="shared" si="2"/>
        <v>0</v>
      </c>
      <c r="H12" s="414">
        <f t="shared" si="3"/>
        <v>150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5"/>
        <v>0</v>
      </c>
    </row>
    <row r="13" spans="1:21" ht="14.45" customHeight="1" x14ac:dyDescent="0.25">
      <c r="A13" s="6" t="s">
        <v>199</v>
      </c>
      <c r="B13" s="6" t="s">
        <v>1293</v>
      </c>
      <c r="C13" s="9">
        <v>5</v>
      </c>
      <c r="D13" s="414">
        <v>7100</v>
      </c>
      <c r="E13" s="24">
        <v>5</v>
      </c>
      <c r="F13" s="414">
        <v>5880</v>
      </c>
      <c r="G13" s="24">
        <f t="shared" si="2"/>
        <v>0</v>
      </c>
      <c r="H13" s="414">
        <f t="shared" si="3"/>
        <v>-1220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5"/>
        <v>0</v>
      </c>
    </row>
    <row r="14" spans="1:21" ht="14.45" customHeight="1" x14ac:dyDescent="0.25">
      <c r="A14" s="6" t="s">
        <v>200</v>
      </c>
      <c r="B14" s="6" t="s">
        <v>1293</v>
      </c>
      <c r="C14" s="9">
        <v>6</v>
      </c>
      <c r="D14" s="414">
        <v>12300</v>
      </c>
      <c r="E14" s="24">
        <v>6</v>
      </c>
      <c r="F14" s="414">
        <v>10395</v>
      </c>
      <c r="G14" s="24">
        <f t="shared" si="0"/>
        <v>0</v>
      </c>
      <c r="H14" s="414">
        <f t="shared" si="0"/>
        <v>-1905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1"/>
        <v>0</v>
      </c>
    </row>
    <row r="15" spans="1:21" ht="14.45" customHeight="1" x14ac:dyDescent="0.25">
      <c r="A15" s="6" t="s">
        <v>201</v>
      </c>
      <c r="B15" s="6" t="s">
        <v>1293</v>
      </c>
      <c r="C15" s="9">
        <v>4</v>
      </c>
      <c r="D15" s="414">
        <v>3000</v>
      </c>
      <c r="E15" s="24">
        <v>4</v>
      </c>
      <c r="F15" s="414">
        <v>2625</v>
      </c>
      <c r="G15" s="24">
        <f t="shared" si="0"/>
        <v>0</v>
      </c>
      <c r="H15" s="414">
        <f t="shared" si="0"/>
        <v>-375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si="1"/>
        <v>0</v>
      </c>
    </row>
    <row r="16" spans="1:21" ht="14.45" customHeight="1" x14ac:dyDescent="0.25">
      <c r="A16" s="6" t="s">
        <v>180</v>
      </c>
      <c r="B16" s="6" t="s">
        <v>1293</v>
      </c>
      <c r="C16" s="9">
        <v>2</v>
      </c>
      <c r="D16" s="414">
        <v>3100</v>
      </c>
      <c r="E16" s="24">
        <v>2</v>
      </c>
      <c r="F16" s="414">
        <v>3190</v>
      </c>
      <c r="G16" s="24">
        <f t="shared" si="0"/>
        <v>0</v>
      </c>
      <c r="H16" s="414">
        <f t="shared" si="0"/>
        <v>90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f t="shared" si="1"/>
        <v>0</v>
      </c>
    </row>
    <row r="17" spans="1:21" ht="14.45" customHeight="1" x14ac:dyDescent="0.25">
      <c r="A17" s="6" t="s">
        <v>218</v>
      </c>
      <c r="B17" s="6" t="s">
        <v>60</v>
      </c>
      <c r="C17" s="9">
        <v>7</v>
      </c>
      <c r="D17" s="414">
        <v>10894</v>
      </c>
      <c r="E17" s="24">
        <v>7</v>
      </c>
      <c r="F17" s="414">
        <v>10755</v>
      </c>
      <c r="G17" s="24">
        <f t="shared" si="0"/>
        <v>0</v>
      </c>
      <c r="H17" s="414">
        <f t="shared" si="0"/>
        <v>-139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 t="shared" si="1"/>
        <v>0</v>
      </c>
    </row>
    <row r="18" spans="1:21" ht="14.45" customHeight="1" x14ac:dyDescent="0.25">
      <c r="A18" s="6" t="s">
        <v>376</v>
      </c>
      <c r="B18" s="6" t="s">
        <v>1293</v>
      </c>
      <c r="C18" s="9">
        <v>5</v>
      </c>
      <c r="D18" s="414">
        <v>7750</v>
      </c>
      <c r="E18" s="24">
        <v>4</v>
      </c>
      <c r="F18" s="414">
        <v>6380</v>
      </c>
      <c r="G18" s="24">
        <v>0</v>
      </c>
      <c r="H18" s="414">
        <f>F18-D18+1595</f>
        <v>225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f t="shared" si="1"/>
        <v>0</v>
      </c>
    </row>
    <row r="19" spans="1:21" ht="14.45" customHeight="1" x14ac:dyDescent="0.25">
      <c r="A19" s="6" t="s">
        <v>301</v>
      </c>
      <c r="B19" s="6" t="s">
        <v>60</v>
      </c>
      <c r="C19" s="9">
        <v>8</v>
      </c>
      <c r="D19" s="414">
        <v>12663</v>
      </c>
      <c r="E19" s="24">
        <v>8</v>
      </c>
      <c r="F19" s="414">
        <v>13127</v>
      </c>
      <c r="G19" s="24">
        <f t="shared" ref="G19:H22" si="6">E19-C19</f>
        <v>0</v>
      </c>
      <c r="H19" s="414">
        <f t="shared" si="6"/>
        <v>464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f t="shared" ref="U19:U22" si="7">SUM(I19:T19)</f>
        <v>0</v>
      </c>
    </row>
    <row r="20" spans="1:21" ht="14.45" customHeight="1" x14ac:dyDescent="0.25">
      <c r="A20" s="9" t="s">
        <v>192</v>
      </c>
      <c r="B20" s="9" t="s">
        <v>1293</v>
      </c>
      <c r="C20" s="9">
        <v>10</v>
      </c>
      <c r="D20" s="414">
        <v>12380</v>
      </c>
      <c r="E20" s="24">
        <v>6</v>
      </c>
      <c r="F20" s="414">
        <v>8970</v>
      </c>
      <c r="G20" s="24">
        <f t="shared" si="6"/>
        <v>-4</v>
      </c>
      <c r="H20" s="473">
        <f t="shared" si="6"/>
        <v>-3410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 t="shared" si="7"/>
        <v>0</v>
      </c>
    </row>
    <row r="21" spans="1:21" ht="14.45" customHeight="1" x14ac:dyDescent="0.25">
      <c r="A21" s="9" t="s">
        <v>193</v>
      </c>
      <c r="B21" s="9" t="s">
        <v>1293</v>
      </c>
      <c r="C21" s="9">
        <v>7</v>
      </c>
      <c r="D21" s="414">
        <v>7844</v>
      </c>
      <c r="E21" s="24">
        <v>7</v>
      </c>
      <c r="F21" s="414">
        <v>8069</v>
      </c>
      <c r="G21" s="24">
        <f t="shared" si="6"/>
        <v>0</v>
      </c>
      <c r="H21" s="414">
        <f t="shared" si="6"/>
        <v>225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si="7"/>
        <v>0</v>
      </c>
    </row>
    <row r="22" spans="1:21" ht="15" customHeight="1" x14ac:dyDescent="0.25">
      <c r="A22" s="6" t="s">
        <v>226</v>
      </c>
      <c r="B22" s="6" t="s">
        <v>60</v>
      </c>
      <c r="C22" s="9">
        <v>2</v>
      </c>
      <c r="D22" s="414">
        <v>2600</v>
      </c>
      <c r="E22" s="24">
        <v>2</v>
      </c>
      <c r="F22" s="414">
        <v>1680</v>
      </c>
      <c r="G22" s="24">
        <f t="shared" si="6"/>
        <v>0</v>
      </c>
      <c r="H22" s="414">
        <f t="shared" si="6"/>
        <v>-920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7"/>
        <v>0</v>
      </c>
    </row>
    <row r="23" spans="1:21" ht="15" customHeight="1" x14ac:dyDescent="0.25">
      <c r="A23" s="443" t="s">
        <v>1221</v>
      </c>
      <c r="B23" s="444"/>
      <c r="C23" s="468">
        <f t="shared" ref="C23:D23" si="8">SUM(C5:C22)</f>
        <v>81</v>
      </c>
      <c r="D23" s="469">
        <f t="shared" si="8"/>
        <v>119037</v>
      </c>
      <c r="E23" s="468">
        <f>SUM(E5:E22)</f>
        <v>76</v>
      </c>
      <c r="F23" s="469">
        <f>SUM(F5:F22)</f>
        <v>115591</v>
      </c>
      <c r="G23" s="468">
        <f>SUM(G5:G22)</f>
        <v>-4</v>
      </c>
      <c r="H23" s="470">
        <f>SUM(H5:H22)</f>
        <v>-1851</v>
      </c>
      <c r="I23" s="447">
        <f t="shared" ref="I23:U23" si="9">SUM(I5:I22)</f>
        <v>0</v>
      </c>
      <c r="J23" s="447">
        <f t="shared" si="9"/>
        <v>0</v>
      </c>
      <c r="K23" s="447">
        <f t="shared" si="9"/>
        <v>0</v>
      </c>
      <c r="L23" s="447">
        <f t="shared" si="9"/>
        <v>0</v>
      </c>
      <c r="M23" s="447">
        <f t="shared" si="9"/>
        <v>0</v>
      </c>
      <c r="N23" s="447">
        <f t="shared" si="9"/>
        <v>0</v>
      </c>
      <c r="O23" s="447">
        <f t="shared" si="9"/>
        <v>0</v>
      </c>
      <c r="P23" s="447">
        <f t="shared" si="9"/>
        <v>0</v>
      </c>
      <c r="Q23" s="447">
        <f t="shared" si="9"/>
        <v>0</v>
      </c>
      <c r="R23" s="447">
        <f t="shared" si="9"/>
        <v>0</v>
      </c>
      <c r="S23" s="447">
        <f t="shared" si="9"/>
        <v>0</v>
      </c>
      <c r="T23" s="447">
        <f t="shared" si="9"/>
        <v>0</v>
      </c>
      <c r="U23" s="447">
        <f t="shared" si="9"/>
        <v>0</v>
      </c>
    </row>
    <row r="24" spans="1:21" x14ac:dyDescent="0.25">
      <c r="C24" s="471">
        <f>C23*1550</f>
        <v>125550</v>
      </c>
      <c r="E24" s="419">
        <f>E23*1595</f>
        <v>121220</v>
      </c>
      <c r="H24" s="471"/>
    </row>
    <row r="25" spans="1:21" x14ac:dyDescent="0.25">
      <c r="A25" s="739" t="s">
        <v>1227</v>
      </c>
      <c r="B25" s="739"/>
    </row>
    <row r="26" spans="1:21" ht="30" x14ac:dyDescent="0.25">
      <c r="A26" s="449" t="s">
        <v>1</v>
      </c>
      <c r="B26" s="449" t="s">
        <v>59</v>
      </c>
      <c r="C26" s="425" t="s">
        <v>1222</v>
      </c>
      <c r="D26" s="425" t="s">
        <v>1223</v>
      </c>
      <c r="E26" s="425" t="s">
        <v>392</v>
      </c>
      <c r="F26" s="426" t="s">
        <v>2</v>
      </c>
      <c r="G26" s="432" t="s">
        <v>1225</v>
      </c>
      <c r="H26" s="427" t="s">
        <v>1224</v>
      </c>
      <c r="I26" s="424" t="s">
        <v>681</v>
      </c>
      <c r="J26" s="424" t="s">
        <v>77</v>
      </c>
      <c r="K26" s="424" t="s">
        <v>682</v>
      </c>
      <c r="L26" s="424" t="s">
        <v>683</v>
      </c>
      <c r="M26" s="424" t="s">
        <v>87</v>
      </c>
      <c r="N26" s="424" t="s">
        <v>684</v>
      </c>
      <c r="O26" s="424" t="s">
        <v>685</v>
      </c>
      <c r="P26" s="424" t="s">
        <v>690</v>
      </c>
      <c r="Q26" s="424" t="s">
        <v>686</v>
      </c>
      <c r="R26" s="424" t="s">
        <v>687</v>
      </c>
      <c r="S26" s="424" t="s">
        <v>688</v>
      </c>
      <c r="T26" s="424" t="s">
        <v>689</v>
      </c>
      <c r="U26" s="424" t="s">
        <v>1238</v>
      </c>
    </row>
    <row r="27" spans="1:21" ht="15" customHeight="1" x14ac:dyDescent="0.25">
      <c r="A27" s="27" t="s">
        <v>1291</v>
      </c>
      <c r="B27" s="24" t="s">
        <v>115</v>
      </c>
      <c r="C27" s="430">
        <v>42095</v>
      </c>
      <c r="D27" s="431">
        <v>42110</v>
      </c>
      <c r="E27" s="421">
        <v>15</v>
      </c>
      <c r="F27" s="431">
        <v>42186</v>
      </c>
      <c r="G27" s="421">
        <v>3</v>
      </c>
      <c r="H27" s="28">
        <v>7455</v>
      </c>
      <c r="I27" s="24">
        <v>1</v>
      </c>
      <c r="J27" s="24">
        <v>1</v>
      </c>
      <c r="K27" s="24"/>
      <c r="L27" s="24"/>
      <c r="M27" s="24"/>
      <c r="N27" s="24">
        <v>1</v>
      </c>
      <c r="O27" s="24"/>
      <c r="P27" s="24"/>
      <c r="Q27" s="24"/>
      <c r="R27" s="24"/>
      <c r="S27" s="24"/>
      <c r="T27" s="24"/>
      <c r="U27" s="24">
        <f t="shared" ref="U27:U32" si="10">SUM(I27:T27)</f>
        <v>3</v>
      </c>
    </row>
    <row r="28" spans="1:21" ht="15" customHeight="1" x14ac:dyDescent="0.25">
      <c r="A28" s="27" t="s">
        <v>1294</v>
      </c>
      <c r="B28" s="24" t="s">
        <v>115</v>
      </c>
      <c r="C28" s="430">
        <v>42115</v>
      </c>
      <c r="D28" s="431">
        <v>42165</v>
      </c>
      <c r="E28" s="421">
        <v>50</v>
      </c>
      <c r="F28" s="431">
        <v>42186</v>
      </c>
      <c r="G28" s="421">
        <v>6</v>
      </c>
      <c r="H28" s="28">
        <v>6075</v>
      </c>
      <c r="I28" s="24">
        <v>1</v>
      </c>
      <c r="J28" s="24"/>
      <c r="K28" s="24">
        <v>1</v>
      </c>
      <c r="L28" s="24"/>
      <c r="M28" s="24"/>
      <c r="N28" s="24">
        <v>1</v>
      </c>
      <c r="O28" s="24"/>
      <c r="P28" s="24">
        <v>1</v>
      </c>
      <c r="Q28" s="24">
        <v>1</v>
      </c>
      <c r="R28" s="24">
        <v>1</v>
      </c>
      <c r="S28" s="24"/>
      <c r="T28" s="24"/>
      <c r="U28" s="24">
        <f t="shared" ref="U28" si="11">SUM(I28:T28)</f>
        <v>6</v>
      </c>
    </row>
    <row r="29" spans="1:21" ht="15" customHeight="1" x14ac:dyDescent="0.25">
      <c r="A29" s="27" t="s">
        <v>1310</v>
      </c>
      <c r="B29" s="24" t="s">
        <v>115</v>
      </c>
      <c r="C29" s="430"/>
      <c r="D29" s="431">
        <v>42200</v>
      </c>
      <c r="E29" s="421"/>
      <c r="F29" s="431">
        <v>42185</v>
      </c>
      <c r="G29" s="421">
        <v>6</v>
      </c>
      <c r="H29" s="28">
        <f>9300+2200</f>
        <v>11500</v>
      </c>
      <c r="I29" s="24">
        <v>1</v>
      </c>
      <c r="J29" s="24">
        <v>2</v>
      </c>
      <c r="K29" s="24">
        <v>1</v>
      </c>
      <c r="L29" s="24">
        <v>1</v>
      </c>
      <c r="M29" s="24"/>
      <c r="N29" s="24">
        <v>1</v>
      </c>
      <c r="O29" s="24"/>
      <c r="P29" s="24"/>
      <c r="Q29" s="24"/>
      <c r="R29" s="24"/>
      <c r="S29" s="24"/>
      <c r="T29" s="24"/>
      <c r="U29" s="24">
        <f t="shared" si="10"/>
        <v>6</v>
      </c>
    </row>
    <row r="30" spans="1:21" ht="15" customHeight="1" x14ac:dyDescent="0.25">
      <c r="A30" s="27" t="s">
        <v>1374</v>
      </c>
      <c r="B30" s="24" t="s">
        <v>115</v>
      </c>
      <c r="C30" s="430"/>
      <c r="D30" s="431">
        <v>42216</v>
      </c>
      <c r="E30" s="421"/>
      <c r="F30" s="431">
        <v>42214</v>
      </c>
      <c r="G30" s="421">
        <v>8</v>
      </c>
      <c r="H30" s="28">
        <v>14400</v>
      </c>
      <c r="I30" s="24">
        <v>1</v>
      </c>
      <c r="J30" s="24">
        <v>1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24"/>
      <c r="R30" s="24"/>
      <c r="S30" s="24"/>
      <c r="T30" s="24"/>
      <c r="U30" s="24">
        <f t="shared" si="10"/>
        <v>8</v>
      </c>
    </row>
    <row r="31" spans="1:21" ht="15" customHeight="1" x14ac:dyDescent="0.25">
      <c r="A31" s="27"/>
      <c r="B31" s="24"/>
      <c r="C31" s="430"/>
      <c r="D31" s="431"/>
      <c r="E31" s="421"/>
      <c r="F31" s="431"/>
      <c r="G31" s="421"/>
      <c r="H31" s="28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f t="shared" si="10"/>
        <v>0</v>
      </c>
    </row>
    <row r="32" spans="1:21" ht="15" customHeight="1" x14ac:dyDescent="0.25">
      <c r="A32" s="27"/>
      <c r="B32" s="24"/>
      <c r="C32" s="430"/>
      <c r="D32" s="431"/>
      <c r="E32" s="421"/>
      <c r="F32" s="431"/>
      <c r="G32" s="421"/>
      <c r="H32" s="2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 t="shared" si="10"/>
        <v>0</v>
      </c>
    </row>
    <row r="33" spans="1:21" ht="15" customHeight="1" x14ac:dyDescent="0.25">
      <c r="A33" s="443" t="s">
        <v>1226</v>
      </c>
      <c r="B33" s="444"/>
      <c r="C33" s="445"/>
      <c r="D33" s="446"/>
      <c r="E33" s="447"/>
      <c r="F33" s="446"/>
      <c r="G33" s="447">
        <f>SUM(G27:G32)</f>
        <v>23</v>
      </c>
      <c r="H33" s="448">
        <f>SUM(H27:H32)</f>
        <v>39430</v>
      </c>
      <c r="I33" s="447">
        <f t="shared" ref="I33:U33" si="12">SUM(I27:I32)</f>
        <v>4</v>
      </c>
      <c r="J33" s="447">
        <f t="shared" si="12"/>
        <v>4</v>
      </c>
      <c r="K33" s="447">
        <f t="shared" si="12"/>
        <v>3</v>
      </c>
      <c r="L33" s="447">
        <f t="shared" si="12"/>
        <v>2</v>
      </c>
      <c r="M33" s="447">
        <f t="shared" si="12"/>
        <v>1</v>
      </c>
      <c r="N33" s="447">
        <f t="shared" si="12"/>
        <v>4</v>
      </c>
      <c r="O33" s="447">
        <f t="shared" si="12"/>
        <v>1</v>
      </c>
      <c r="P33" s="447">
        <f t="shared" si="12"/>
        <v>2</v>
      </c>
      <c r="Q33" s="447">
        <f t="shared" si="12"/>
        <v>1</v>
      </c>
      <c r="R33" s="447">
        <f t="shared" si="12"/>
        <v>1</v>
      </c>
      <c r="S33" s="447">
        <f t="shared" si="12"/>
        <v>0</v>
      </c>
      <c r="T33" s="447">
        <f t="shared" si="12"/>
        <v>0</v>
      </c>
      <c r="U33" s="447">
        <f t="shared" si="12"/>
        <v>23</v>
      </c>
    </row>
    <row r="34" spans="1:21" ht="15" customHeight="1" x14ac:dyDescent="0.25">
      <c r="A34" s="428"/>
      <c r="B34" s="422"/>
      <c r="C34" s="422"/>
      <c r="D34" s="429"/>
      <c r="E34" s="422"/>
      <c r="F34" s="429"/>
      <c r="G34" s="433"/>
      <c r="H34" s="422"/>
    </row>
    <row r="35" spans="1:21" x14ac:dyDescent="0.25">
      <c r="A35" s="739" t="s">
        <v>1228</v>
      </c>
      <c r="B35" s="739"/>
      <c r="G35" s="420"/>
    </row>
    <row r="36" spans="1:21" ht="30" x14ac:dyDescent="0.25">
      <c r="A36" s="449" t="s">
        <v>1</v>
      </c>
      <c r="B36" s="449" t="s">
        <v>59</v>
      </c>
      <c r="C36" s="425" t="s">
        <v>1222</v>
      </c>
      <c r="D36" s="425" t="s">
        <v>1223</v>
      </c>
      <c r="E36" s="425" t="s">
        <v>392</v>
      </c>
      <c r="F36" s="426" t="s">
        <v>2</v>
      </c>
      <c r="G36" s="432" t="s">
        <v>1225</v>
      </c>
      <c r="H36" s="427" t="s">
        <v>1224</v>
      </c>
      <c r="I36" s="424" t="s">
        <v>681</v>
      </c>
      <c r="J36" s="424" t="s">
        <v>77</v>
      </c>
      <c r="K36" s="424" t="s">
        <v>682</v>
      </c>
      <c r="L36" s="424" t="s">
        <v>683</v>
      </c>
      <c r="M36" s="424" t="s">
        <v>87</v>
      </c>
      <c r="N36" s="424" t="s">
        <v>684</v>
      </c>
      <c r="O36" s="424" t="s">
        <v>685</v>
      </c>
      <c r="P36" s="424" t="s">
        <v>690</v>
      </c>
      <c r="Q36" s="424" t="s">
        <v>686</v>
      </c>
      <c r="R36" s="424" t="s">
        <v>687</v>
      </c>
      <c r="S36" s="424" t="s">
        <v>688</v>
      </c>
      <c r="T36" s="424" t="s">
        <v>689</v>
      </c>
      <c r="U36" s="424" t="s">
        <v>1238</v>
      </c>
    </row>
    <row r="37" spans="1:21" ht="15" customHeight="1" x14ac:dyDescent="0.25">
      <c r="A37" s="27" t="s">
        <v>1314</v>
      </c>
      <c r="B37" s="24" t="s">
        <v>60</v>
      </c>
      <c r="C37" s="430">
        <v>42129</v>
      </c>
      <c r="D37" s="431">
        <v>42163</v>
      </c>
      <c r="E37" s="421">
        <v>33</v>
      </c>
      <c r="F37" s="431">
        <v>42186</v>
      </c>
      <c r="G37" s="421">
        <v>3</v>
      </c>
      <c r="H37" s="28">
        <v>4215</v>
      </c>
      <c r="I37" s="24">
        <v>1</v>
      </c>
      <c r="J37" s="24"/>
      <c r="K37" s="24">
        <v>1</v>
      </c>
      <c r="L37" s="24">
        <v>1</v>
      </c>
      <c r="M37" s="24"/>
      <c r="N37" s="24"/>
      <c r="O37" s="24"/>
      <c r="P37" s="24"/>
      <c r="Q37" s="24"/>
      <c r="R37" s="24"/>
      <c r="S37" s="24"/>
      <c r="T37" s="24"/>
      <c r="U37" s="24">
        <f t="shared" ref="U37:U45" si="13">SUM(I37:T37)</f>
        <v>3</v>
      </c>
    </row>
    <row r="38" spans="1:21" ht="15" customHeight="1" x14ac:dyDescent="0.25">
      <c r="A38" s="27" t="s">
        <v>1315</v>
      </c>
      <c r="B38" s="24" t="s">
        <v>60</v>
      </c>
      <c r="C38" s="430">
        <v>42129</v>
      </c>
      <c r="D38" s="431">
        <v>42163</v>
      </c>
      <c r="E38" s="421">
        <v>33</v>
      </c>
      <c r="F38" s="431">
        <v>42186</v>
      </c>
      <c r="G38" s="421">
        <v>3</v>
      </c>
      <c r="H38" s="28">
        <v>3240</v>
      </c>
      <c r="I38" s="24">
        <v>1</v>
      </c>
      <c r="J38" s="24"/>
      <c r="K38" s="24">
        <v>1</v>
      </c>
      <c r="L38" s="24">
        <v>1</v>
      </c>
      <c r="M38" s="24"/>
      <c r="N38" s="24"/>
      <c r="O38" s="24"/>
      <c r="P38" s="24"/>
      <c r="Q38" s="24"/>
      <c r="R38" s="24"/>
      <c r="S38" s="24"/>
      <c r="T38" s="24"/>
      <c r="U38" s="24">
        <f t="shared" si="13"/>
        <v>3</v>
      </c>
    </row>
    <row r="39" spans="1:21" ht="15" customHeight="1" x14ac:dyDescent="0.25">
      <c r="A39" s="27" t="s">
        <v>1345</v>
      </c>
      <c r="B39" s="24" t="s">
        <v>115</v>
      </c>
      <c r="C39" s="430">
        <v>42171</v>
      </c>
      <c r="D39" s="431">
        <v>42172</v>
      </c>
      <c r="E39" s="421">
        <v>1</v>
      </c>
      <c r="F39" s="431">
        <v>42186</v>
      </c>
      <c r="G39" s="421">
        <v>3</v>
      </c>
      <c r="H39" s="28">
        <v>4419</v>
      </c>
      <c r="I39" s="24"/>
      <c r="J39" s="24"/>
      <c r="K39" s="24"/>
      <c r="L39" s="24"/>
      <c r="M39" s="24"/>
      <c r="N39" s="24"/>
      <c r="O39" s="24"/>
      <c r="P39" s="24">
        <v>3</v>
      </c>
      <c r="Q39" s="24"/>
      <c r="R39" s="24"/>
      <c r="S39" s="24"/>
      <c r="T39" s="24"/>
      <c r="U39" s="24">
        <f t="shared" si="13"/>
        <v>3</v>
      </c>
    </row>
    <row r="40" spans="1:21" ht="15" customHeight="1" x14ac:dyDescent="0.25">
      <c r="A40" s="27" t="s">
        <v>1353</v>
      </c>
      <c r="B40" s="24" t="s">
        <v>1293</v>
      </c>
      <c r="C40" s="430">
        <v>42080</v>
      </c>
      <c r="D40" s="431">
        <v>42185</v>
      </c>
      <c r="E40" s="421">
        <v>103</v>
      </c>
      <c r="F40" s="431">
        <v>42186</v>
      </c>
      <c r="G40" s="421">
        <v>1</v>
      </c>
      <c r="H40" s="28">
        <v>2174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>
        <v>1</v>
      </c>
      <c r="T40" s="24"/>
      <c r="U40" s="24">
        <f t="shared" si="13"/>
        <v>1</v>
      </c>
    </row>
    <row r="41" spans="1:21" ht="15" customHeight="1" x14ac:dyDescent="0.25">
      <c r="A41" s="27"/>
      <c r="B41" s="24"/>
      <c r="C41" s="430"/>
      <c r="D41" s="431"/>
      <c r="E41" s="421"/>
      <c r="F41" s="431"/>
      <c r="G41" s="421"/>
      <c r="H41" s="2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>
        <f t="shared" si="13"/>
        <v>0</v>
      </c>
    </row>
    <row r="42" spans="1:21" ht="15" customHeight="1" x14ac:dyDescent="0.25">
      <c r="A42" s="27"/>
      <c r="B42" s="24"/>
      <c r="C42" s="430"/>
      <c r="D42" s="431"/>
      <c r="E42" s="421"/>
      <c r="F42" s="431"/>
      <c r="G42" s="421"/>
      <c r="H42" s="2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f t="shared" si="13"/>
        <v>0</v>
      </c>
    </row>
    <row r="43" spans="1:21" ht="15" customHeight="1" x14ac:dyDescent="0.25">
      <c r="A43" s="27"/>
      <c r="B43" s="24"/>
      <c r="C43" s="430"/>
      <c r="D43" s="431"/>
      <c r="E43" s="421"/>
      <c r="F43" s="431"/>
      <c r="G43" s="421"/>
      <c r="H43" s="28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 t="shared" si="13"/>
        <v>0</v>
      </c>
    </row>
    <row r="44" spans="1:21" ht="15" customHeight="1" x14ac:dyDescent="0.25">
      <c r="A44" s="27"/>
      <c r="B44" s="24"/>
      <c r="C44" s="430"/>
      <c r="D44" s="431"/>
      <c r="E44" s="421"/>
      <c r="F44" s="431"/>
      <c r="G44" s="421"/>
      <c r="H44" s="2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f t="shared" si="13"/>
        <v>0</v>
      </c>
    </row>
    <row r="45" spans="1:21" ht="15" customHeight="1" x14ac:dyDescent="0.25">
      <c r="A45" s="27"/>
      <c r="B45" s="24"/>
      <c r="C45" s="430"/>
      <c r="D45" s="431"/>
      <c r="E45" s="421"/>
      <c r="F45" s="431"/>
      <c r="G45" s="421"/>
      <c r="H45" s="2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>
        <f t="shared" si="13"/>
        <v>0</v>
      </c>
    </row>
    <row r="46" spans="1:21" ht="15" customHeight="1" x14ac:dyDescent="0.25">
      <c r="A46" s="443" t="s">
        <v>450</v>
      </c>
      <c r="B46" s="444"/>
      <c r="C46" s="445"/>
      <c r="D46" s="446"/>
      <c r="E46" s="447"/>
      <c r="F46" s="446"/>
      <c r="G46" s="447">
        <f>SUM(G37:G45)</f>
        <v>10</v>
      </c>
      <c r="H46" s="448">
        <f>SUM(H37:H45)</f>
        <v>14048</v>
      </c>
      <c r="I46" s="447">
        <f t="shared" ref="I46:U46" si="14">SUM(I37:I45)</f>
        <v>2</v>
      </c>
      <c r="J46" s="447">
        <f t="shared" si="14"/>
        <v>0</v>
      </c>
      <c r="K46" s="447">
        <f t="shared" si="14"/>
        <v>2</v>
      </c>
      <c r="L46" s="447">
        <f t="shared" si="14"/>
        <v>2</v>
      </c>
      <c r="M46" s="447">
        <f t="shared" si="14"/>
        <v>0</v>
      </c>
      <c r="N46" s="447">
        <f t="shared" si="14"/>
        <v>0</v>
      </c>
      <c r="O46" s="447">
        <f t="shared" si="14"/>
        <v>0</v>
      </c>
      <c r="P46" s="447">
        <f t="shared" si="14"/>
        <v>3</v>
      </c>
      <c r="Q46" s="447">
        <f t="shared" si="14"/>
        <v>0</v>
      </c>
      <c r="R46" s="447">
        <f t="shared" si="14"/>
        <v>0</v>
      </c>
      <c r="S46" s="447">
        <f t="shared" si="14"/>
        <v>1</v>
      </c>
      <c r="T46" s="447">
        <f t="shared" si="14"/>
        <v>0</v>
      </c>
      <c r="U46" s="447">
        <f t="shared" si="14"/>
        <v>10</v>
      </c>
    </row>
    <row r="48" spans="1:21" x14ac:dyDescent="0.25">
      <c r="A48" s="739" t="s">
        <v>1229</v>
      </c>
      <c r="B48" s="739"/>
    </row>
    <row r="49" spans="1:21" ht="30" x14ac:dyDescent="0.25">
      <c r="A49" s="449" t="s">
        <v>1</v>
      </c>
      <c r="B49" s="449" t="s">
        <v>59</v>
      </c>
      <c r="C49" s="425"/>
      <c r="D49" s="425"/>
      <c r="E49" s="425"/>
      <c r="F49" s="426"/>
      <c r="G49" s="432" t="s">
        <v>1225</v>
      </c>
      <c r="H49" s="427" t="s">
        <v>1224</v>
      </c>
      <c r="I49" s="424" t="s">
        <v>681</v>
      </c>
      <c r="J49" s="424" t="s">
        <v>77</v>
      </c>
      <c r="K49" s="424" t="s">
        <v>682</v>
      </c>
      <c r="L49" s="424" t="s">
        <v>683</v>
      </c>
      <c r="M49" s="424" t="s">
        <v>87</v>
      </c>
      <c r="N49" s="424" t="s">
        <v>684</v>
      </c>
      <c r="O49" s="424" t="s">
        <v>685</v>
      </c>
      <c r="P49" s="424" t="s">
        <v>690</v>
      </c>
      <c r="Q49" s="424" t="s">
        <v>686</v>
      </c>
      <c r="R49" s="424" t="s">
        <v>687</v>
      </c>
      <c r="S49" s="424" t="s">
        <v>688</v>
      </c>
      <c r="T49" s="424" t="s">
        <v>689</v>
      </c>
      <c r="U49" s="424" t="s">
        <v>1238</v>
      </c>
    </row>
    <row r="50" spans="1:21" ht="15" customHeight="1" x14ac:dyDescent="0.25">
      <c r="A50" s="27" t="s">
        <v>1354</v>
      </c>
      <c r="B50" s="24" t="s">
        <v>1293</v>
      </c>
      <c r="C50" s="430">
        <v>42172</v>
      </c>
      <c r="D50" s="431">
        <v>42194</v>
      </c>
      <c r="E50" s="421">
        <v>23</v>
      </c>
      <c r="F50" s="431">
        <v>42193</v>
      </c>
      <c r="G50" s="421">
        <v>-1</v>
      </c>
      <c r="H50" s="28">
        <v>-2237</v>
      </c>
      <c r="I50" s="24"/>
      <c r="J50" s="24"/>
      <c r="K50" s="24"/>
      <c r="L50" s="24"/>
      <c r="M50" s="24"/>
      <c r="N50" s="24"/>
      <c r="O50" s="421">
        <v>-1</v>
      </c>
      <c r="P50" s="24"/>
      <c r="Q50" s="24"/>
      <c r="R50" s="24"/>
      <c r="S50" s="24"/>
      <c r="T50" s="24"/>
      <c r="U50" s="24">
        <f t="shared" ref="U50:U51" si="15">SUM(I50:T50)</f>
        <v>-1</v>
      </c>
    </row>
    <row r="51" spans="1:21" ht="15" customHeight="1" x14ac:dyDescent="0.25">
      <c r="A51" s="27" t="s">
        <v>1363</v>
      </c>
      <c r="B51" s="24" t="s">
        <v>115</v>
      </c>
      <c r="C51" s="430">
        <v>42185</v>
      </c>
      <c r="D51" s="431">
        <v>42194</v>
      </c>
      <c r="E51" s="421">
        <v>9</v>
      </c>
      <c r="F51" s="431">
        <v>42162</v>
      </c>
      <c r="G51" s="421">
        <v>0</v>
      </c>
      <c r="H51" s="28">
        <v>-2200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f t="shared" si="15"/>
        <v>0</v>
      </c>
    </row>
    <row r="52" spans="1:21" ht="15" customHeight="1" x14ac:dyDescent="0.25">
      <c r="A52" s="27" t="s">
        <v>1370</v>
      </c>
      <c r="B52" s="24" t="s">
        <v>1293</v>
      </c>
      <c r="C52" s="430">
        <v>42208</v>
      </c>
      <c r="D52" s="431">
        <v>42209</v>
      </c>
      <c r="E52" s="421">
        <v>1</v>
      </c>
      <c r="F52" s="431">
        <v>42210</v>
      </c>
      <c r="G52" s="421">
        <v>-1</v>
      </c>
      <c r="H52" s="28">
        <v>-1595</v>
      </c>
      <c r="I52" s="24"/>
      <c r="J52" s="24"/>
      <c r="K52" s="24"/>
      <c r="L52" s="24"/>
      <c r="M52" s="24"/>
      <c r="N52" s="24"/>
      <c r="O52" s="24"/>
      <c r="P52" s="24"/>
      <c r="Q52" s="421">
        <v>-1</v>
      </c>
      <c r="R52" s="24"/>
      <c r="S52" s="24"/>
      <c r="T52" s="24"/>
      <c r="U52" s="24">
        <f>SUM(I52:T52)</f>
        <v>-1</v>
      </c>
    </row>
    <row r="53" spans="1:21" ht="15" customHeight="1" x14ac:dyDescent="0.25">
      <c r="A53" s="27" t="s">
        <v>1372</v>
      </c>
      <c r="B53" s="24" t="s">
        <v>115</v>
      </c>
      <c r="C53" s="430">
        <v>42193</v>
      </c>
      <c r="D53" s="431">
        <v>42214</v>
      </c>
      <c r="E53" s="421">
        <v>21</v>
      </c>
      <c r="F53" s="431">
        <v>42005</v>
      </c>
      <c r="G53" s="421">
        <v>-1</v>
      </c>
      <c r="H53" s="28">
        <v>-1595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421">
        <v>-1</v>
      </c>
      <c r="T53" s="24"/>
      <c r="U53" s="24">
        <f>SUM(I53:T53)</f>
        <v>-1</v>
      </c>
    </row>
    <row r="54" spans="1:21" ht="15" customHeight="1" x14ac:dyDescent="0.25">
      <c r="A54" s="27" t="s">
        <v>362</v>
      </c>
      <c r="B54" s="24" t="s">
        <v>115</v>
      </c>
      <c r="C54" s="430">
        <v>42207</v>
      </c>
      <c r="D54" s="431">
        <v>42214</v>
      </c>
      <c r="E54" s="421">
        <v>7</v>
      </c>
      <c r="F54" s="431">
        <v>42214</v>
      </c>
      <c r="G54" s="421">
        <v>-1</v>
      </c>
      <c r="H54" s="28">
        <v>-1595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21">
        <v>-1</v>
      </c>
      <c r="T54" s="24"/>
      <c r="U54" s="24">
        <f>SUM(I54:T54)</f>
        <v>-1</v>
      </c>
    </row>
    <row r="55" spans="1:21" ht="15" customHeight="1" x14ac:dyDescent="0.25">
      <c r="A55" s="443" t="s">
        <v>1230</v>
      </c>
      <c r="B55" s="444"/>
      <c r="C55" s="445"/>
      <c r="D55" s="446"/>
      <c r="E55" s="447"/>
      <c r="F55" s="446"/>
      <c r="G55" s="447">
        <f t="shared" ref="G55:U55" si="16">SUM(G50:G54)</f>
        <v>-4</v>
      </c>
      <c r="H55" s="448">
        <f>SUM(H50:H54)</f>
        <v>-9222</v>
      </c>
      <c r="I55" s="447">
        <f t="shared" si="16"/>
        <v>0</v>
      </c>
      <c r="J55" s="447">
        <f t="shared" si="16"/>
        <v>0</v>
      </c>
      <c r="K55" s="447">
        <f t="shared" si="16"/>
        <v>0</v>
      </c>
      <c r="L55" s="447">
        <f t="shared" si="16"/>
        <v>0</v>
      </c>
      <c r="M55" s="447">
        <f t="shared" si="16"/>
        <v>0</v>
      </c>
      <c r="N55" s="447">
        <f t="shared" si="16"/>
        <v>0</v>
      </c>
      <c r="O55" s="447">
        <f t="shared" si="16"/>
        <v>-1</v>
      </c>
      <c r="P55" s="447">
        <f t="shared" si="16"/>
        <v>0</v>
      </c>
      <c r="Q55" s="447">
        <f t="shared" si="16"/>
        <v>-1</v>
      </c>
      <c r="R55" s="447">
        <f t="shared" si="16"/>
        <v>0</v>
      </c>
      <c r="S55" s="447">
        <f t="shared" si="16"/>
        <v>-2</v>
      </c>
      <c r="T55" s="447">
        <f t="shared" si="16"/>
        <v>0</v>
      </c>
      <c r="U55" s="447">
        <f t="shared" si="16"/>
        <v>-4</v>
      </c>
    </row>
    <row r="57" spans="1:21" x14ac:dyDescent="0.25">
      <c r="A57" s="739" t="s">
        <v>1231</v>
      </c>
      <c r="B57" s="739"/>
    </row>
    <row r="58" spans="1:21" ht="30" x14ac:dyDescent="0.25">
      <c r="A58" s="449" t="s">
        <v>1</v>
      </c>
      <c r="B58" s="449" t="s">
        <v>59</v>
      </c>
      <c r="C58" s="425" t="s">
        <v>1222</v>
      </c>
      <c r="D58" s="425" t="s">
        <v>1223</v>
      </c>
      <c r="E58" s="425" t="s">
        <v>392</v>
      </c>
      <c r="F58" s="426" t="s">
        <v>2</v>
      </c>
      <c r="G58" s="432" t="s">
        <v>1225</v>
      </c>
      <c r="H58" s="427" t="s">
        <v>1224</v>
      </c>
      <c r="I58" s="424" t="s">
        <v>681</v>
      </c>
      <c r="J58" s="424" t="s">
        <v>77</v>
      </c>
      <c r="K58" s="424" t="s">
        <v>682</v>
      </c>
      <c r="L58" s="424" t="s">
        <v>683</v>
      </c>
      <c r="M58" s="424" t="s">
        <v>87</v>
      </c>
      <c r="N58" s="424" t="s">
        <v>684</v>
      </c>
      <c r="O58" s="424" t="s">
        <v>685</v>
      </c>
      <c r="P58" s="424" t="s">
        <v>690</v>
      </c>
      <c r="Q58" s="424" t="s">
        <v>686</v>
      </c>
      <c r="R58" s="424" t="s">
        <v>687</v>
      </c>
      <c r="S58" s="424" t="s">
        <v>688</v>
      </c>
      <c r="T58" s="424" t="s">
        <v>689</v>
      </c>
      <c r="U58" s="424" t="s">
        <v>1238</v>
      </c>
    </row>
    <row r="59" spans="1:21" ht="15" customHeight="1" x14ac:dyDescent="0.25">
      <c r="A59" s="27"/>
      <c r="B59" s="24"/>
      <c r="C59" s="430"/>
      <c r="D59" s="431"/>
      <c r="E59" s="421"/>
      <c r="F59" s="431"/>
      <c r="G59" s="421"/>
      <c r="H59" s="28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>
        <f t="shared" ref="U59:U61" si="17">SUM(I59:T59)</f>
        <v>0</v>
      </c>
    </row>
    <row r="60" spans="1:21" ht="15" customHeight="1" x14ac:dyDescent="0.25">
      <c r="A60" s="27"/>
      <c r="B60" s="24"/>
      <c r="C60" s="430"/>
      <c r="D60" s="431"/>
      <c r="E60" s="421"/>
      <c r="F60" s="431"/>
      <c r="G60" s="421"/>
      <c r="H60" s="28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>
        <f t="shared" si="17"/>
        <v>0</v>
      </c>
    </row>
    <row r="61" spans="1:21" ht="15" customHeight="1" x14ac:dyDescent="0.25">
      <c r="A61" s="27"/>
      <c r="B61" s="24"/>
      <c r="C61" s="430"/>
      <c r="D61" s="431"/>
      <c r="E61" s="421"/>
      <c r="F61" s="431"/>
      <c r="G61" s="421"/>
      <c r="H61" s="28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>
        <f t="shared" si="17"/>
        <v>0</v>
      </c>
    </row>
    <row r="62" spans="1:21" ht="15" customHeight="1" x14ac:dyDescent="0.25">
      <c r="A62" s="443" t="s">
        <v>1230</v>
      </c>
      <c r="B62" s="444"/>
      <c r="C62" s="445"/>
      <c r="D62" s="446"/>
      <c r="E62" s="447"/>
      <c r="F62" s="446"/>
      <c r="G62" s="447">
        <f>SUM(G59:G61)</f>
        <v>0</v>
      </c>
      <c r="H62" s="448">
        <f>SUM(H59:H61)</f>
        <v>0</v>
      </c>
      <c r="I62" s="447">
        <f t="shared" ref="I62:U62" si="18">SUM(I59:I61)</f>
        <v>0</v>
      </c>
      <c r="J62" s="447">
        <f t="shared" si="18"/>
        <v>0</v>
      </c>
      <c r="K62" s="447">
        <f t="shared" si="18"/>
        <v>0</v>
      </c>
      <c r="L62" s="447">
        <f t="shared" si="18"/>
        <v>0</v>
      </c>
      <c r="M62" s="447">
        <f t="shared" si="18"/>
        <v>0</v>
      </c>
      <c r="N62" s="447">
        <f t="shared" si="18"/>
        <v>0</v>
      </c>
      <c r="O62" s="447">
        <f t="shared" si="18"/>
        <v>0</v>
      </c>
      <c r="P62" s="447">
        <f t="shared" si="18"/>
        <v>0</v>
      </c>
      <c r="Q62" s="447">
        <f t="shared" si="18"/>
        <v>0</v>
      </c>
      <c r="R62" s="447">
        <f t="shared" si="18"/>
        <v>0</v>
      </c>
      <c r="S62" s="447">
        <f t="shared" si="18"/>
        <v>0</v>
      </c>
      <c r="T62" s="447">
        <f t="shared" si="18"/>
        <v>0</v>
      </c>
      <c r="U62" s="447">
        <f t="shared" si="18"/>
        <v>0</v>
      </c>
    </row>
    <row r="63" spans="1:21" ht="15.75" thickBot="1" x14ac:dyDescent="0.3"/>
    <row r="64" spans="1:21" ht="15.75" thickBot="1" x14ac:dyDescent="0.3">
      <c r="A64" s="436" t="s">
        <v>1232</v>
      </c>
      <c r="B64" s="434"/>
      <c r="C64" s="434"/>
      <c r="D64" s="434"/>
      <c r="E64" s="434"/>
      <c r="F64" s="434"/>
      <c r="G64" s="437">
        <f t="shared" ref="G64:U64" si="19">G23+G33+G46+G55+G62</f>
        <v>25</v>
      </c>
      <c r="H64" s="438">
        <f t="shared" si="19"/>
        <v>42405</v>
      </c>
      <c r="I64" s="450">
        <f t="shared" si="19"/>
        <v>6</v>
      </c>
      <c r="J64" s="450">
        <f t="shared" si="19"/>
        <v>4</v>
      </c>
      <c r="K64" s="450">
        <f t="shared" si="19"/>
        <v>5</v>
      </c>
      <c r="L64" s="450">
        <f t="shared" si="19"/>
        <v>4</v>
      </c>
      <c r="M64" s="450">
        <f t="shared" si="19"/>
        <v>1</v>
      </c>
      <c r="N64" s="450">
        <f t="shared" si="19"/>
        <v>4</v>
      </c>
      <c r="O64" s="450">
        <f t="shared" si="19"/>
        <v>0</v>
      </c>
      <c r="P64" s="450">
        <f t="shared" si="19"/>
        <v>5</v>
      </c>
      <c r="Q64" s="450">
        <f t="shared" si="19"/>
        <v>0</v>
      </c>
      <c r="R64" s="450">
        <f t="shared" si="19"/>
        <v>1</v>
      </c>
      <c r="S64" s="450">
        <f t="shared" si="19"/>
        <v>-1</v>
      </c>
      <c r="T64" s="450">
        <f t="shared" si="19"/>
        <v>0</v>
      </c>
      <c r="U64" s="450">
        <f t="shared" si="19"/>
        <v>29</v>
      </c>
    </row>
    <row r="65" spans="1:8" ht="15.75" thickBot="1" x14ac:dyDescent="0.3">
      <c r="A65" s="436" t="s">
        <v>64</v>
      </c>
      <c r="B65" s="434"/>
      <c r="C65" s="434"/>
      <c r="D65" s="434"/>
      <c r="E65" s="434"/>
      <c r="F65" s="434"/>
      <c r="G65" s="437"/>
      <c r="H65" s="438"/>
    </row>
    <row r="66" spans="1:8" ht="15.75" thickBot="1" x14ac:dyDescent="0.3">
      <c r="A66" s="439" t="s">
        <v>452</v>
      </c>
      <c r="B66" s="440"/>
      <c r="C66" s="440"/>
      <c r="D66" s="440"/>
      <c r="E66" s="440"/>
      <c r="F66" s="440"/>
      <c r="G66" s="441"/>
      <c r="H66" s="442">
        <f>H64-H65</f>
        <v>42405</v>
      </c>
    </row>
    <row r="68" spans="1:8" x14ac:dyDescent="0.25">
      <c r="H68" s="472">
        <f>H23+H46+H55</f>
        <v>2975</v>
      </c>
    </row>
    <row r="69" spans="1:8" x14ac:dyDescent="0.25">
      <c r="H69" s="435"/>
    </row>
  </sheetData>
  <mergeCells count="8">
    <mergeCell ref="G3:H3"/>
    <mergeCell ref="A25:B25"/>
    <mergeCell ref="A35:B35"/>
    <mergeCell ref="A48:B48"/>
    <mergeCell ref="A57:B57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-0.249977111117893"/>
    <pageSetUpPr fitToPage="1"/>
  </sheetPr>
  <dimension ref="A1:U59"/>
  <sheetViews>
    <sheetView topLeftCell="A43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1358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9" t="s">
        <v>373</v>
      </c>
      <c r="B5" s="9" t="s">
        <v>1293</v>
      </c>
      <c r="C5" s="9">
        <v>3</v>
      </c>
      <c r="D5" s="414">
        <v>4650</v>
      </c>
      <c r="E5" s="24">
        <v>3</v>
      </c>
      <c r="F5" s="414">
        <v>4785</v>
      </c>
      <c r="G5" s="24">
        <f t="shared" ref="G5:H10" si="0">E5-C5</f>
        <v>0</v>
      </c>
      <c r="H5" s="414">
        <f t="shared" si="0"/>
        <v>135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0" si="1">SUM(I5:T5)</f>
        <v>0</v>
      </c>
    </row>
    <row r="6" spans="1:21" ht="14.45" customHeight="1" x14ac:dyDescent="0.25">
      <c r="A6" s="9" t="s">
        <v>372</v>
      </c>
      <c r="B6" s="9" t="s">
        <v>115</v>
      </c>
      <c r="C6" s="9">
        <v>4</v>
      </c>
      <c r="D6" s="414">
        <v>6200</v>
      </c>
      <c r="E6" s="24">
        <v>4</v>
      </c>
      <c r="F6" s="414">
        <v>6380</v>
      </c>
      <c r="G6" s="24">
        <f t="shared" si="0"/>
        <v>0</v>
      </c>
      <c r="H6" s="414">
        <f t="shared" si="0"/>
        <v>180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1"/>
        <v>0</v>
      </c>
    </row>
    <row r="7" spans="1:21" ht="14.45" customHeight="1" x14ac:dyDescent="0.25">
      <c r="A7" s="9" t="s">
        <v>253</v>
      </c>
      <c r="B7" s="9" t="s">
        <v>115</v>
      </c>
      <c r="C7" s="9">
        <v>7</v>
      </c>
      <c r="D7" s="414">
        <v>13193.5</v>
      </c>
      <c r="E7" s="24">
        <v>7</v>
      </c>
      <c r="F7" s="414">
        <v>11632</v>
      </c>
      <c r="G7" s="24">
        <f t="shared" si="0"/>
        <v>0</v>
      </c>
      <c r="H7" s="414">
        <f t="shared" si="0"/>
        <v>-1561.5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1"/>
        <v>0</v>
      </c>
    </row>
    <row r="8" spans="1:21" ht="14.45" customHeight="1" x14ac:dyDescent="0.25">
      <c r="A8" s="9" t="s">
        <v>40</v>
      </c>
      <c r="B8" s="9" t="s">
        <v>115</v>
      </c>
      <c r="C8" s="9">
        <v>6</v>
      </c>
      <c r="D8" s="414">
        <v>8295</v>
      </c>
      <c r="E8" s="24">
        <v>6</v>
      </c>
      <c r="F8" s="414">
        <v>8535</v>
      </c>
      <c r="G8" s="24">
        <f t="shared" si="0"/>
        <v>0</v>
      </c>
      <c r="H8" s="414">
        <f t="shared" si="0"/>
        <v>240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1"/>
        <v>0</v>
      </c>
    </row>
    <row r="9" spans="1:21" ht="14.45" customHeight="1" x14ac:dyDescent="0.25">
      <c r="A9" s="23" t="s">
        <v>321</v>
      </c>
      <c r="B9" s="6" t="s">
        <v>115</v>
      </c>
      <c r="C9" s="9">
        <v>3</v>
      </c>
      <c r="D9" s="414">
        <v>5900</v>
      </c>
      <c r="E9" s="24">
        <v>3</v>
      </c>
      <c r="F9" s="414">
        <v>5670</v>
      </c>
      <c r="G9" s="24">
        <f t="shared" si="0"/>
        <v>0</v>
      </c>
      <c r="H9" s="414">
        <f t="shared" si="0"/>
        <v>-230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1"/>
        <v>0</v>
      </c>
    </row>
    <row r="10" spans="1:21" ht="14.45" customHeight="1" x14ac:dyDescent="0.25">
      <c r="A10" s="6" t="s">
        <v>174</v>
      </c>
      <c r="B10" s="6"/>
      <c r="C10" s="9">
        <v>6</v>
      </c>
      <c r="D10" s="414">
        <v>11865</v>
      </c>
      <c r="E10" s="24">
        <v>6</v>
      </c>
      <c r="F10" s="414">
        <v>13290</v>
      </c>
      <c r="G10" s="24">
        <f t="shared" si="0"/>
        <v>0</v>
      </c>
      <c r="H10" s="414">
        <f t="shared" si="0"/>
        <v>1425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1"/>
        <v>0</v>
      </c>
    </row>
    <row r="11" spans="1:21" ht="14.45" customHeight="1" x14ac:dyDescent="0.25">
      <c r="A11" s="6" t="s">
        <v>191</v>
      </c>
      <c r="B11" s="6" t="s">
        <v>1293</v>
      </c>
      <c r="C11" s="9">
        <v>8</v>
      </c>
      <c r="D11" s="414">
        <v>10395</v>
      </c>
      <c r="E11" s="24">
        <v>8</v>
      </c>
      <c r="F11" s="414">
        <v>11183</v>
      </c>
      <c r="G11" s="24">
        <f t="shared" ref="G11:H14" si="2">E11-C11</f>
        <v>0</v>
      </c>
      <c r="H11" s="414">
        <f t="shared" si="2"/>
        <v>788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ref="U11:U14" si="3">SUM(I11:T11)</f>
        <v>0</v>
      </c>
    </row>
    <row r="12" spans="1:21" ht="14.45" customHeight="1" x14ac:dyDescent="0.25">
      <c r="A12" s="6" t="s">
        <v>197</v>
      </c>
      <c r="B12" s="6" t="s">
        <v>115</v>
      </c>
      <c r="C12" s="9">
        <v>6</v>
      </c>
      <c r="D12" s="414">
        <v>9870</v>
      </c>
      <c r="E12" s="24">
        <v>6</v>
      </c>
      <c r="F12" s="414">
        <v>11670</v>
      </c>
      <c r="G12" s="24">
        <f t="shared" si="2"/>
        <v>0</v>
      </c>
      <c r="H12" s="414">
        <f t="shared" si="2"/>
        <v>1800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3"/>
        <v>0</v>
      </c>
    </row>
    <row r="13" spans="1:21" ht="14.45" customHeight="1" x14ac:dyDescent="0.25">
      <c r="A13" s="24"/>
      <c r="B13" s="24"/>
      <c r="C13" s="24"/>
      <c r="D13" s="414"/>
      <c r="E13" s="24"/>
      <c r="F13" s="414"/>
      <c r="G13" s="24">
        <f t="shared" si="2"/>
        <v>0</v>
      </c>
      <c r="H13" s="414">
        <f t="shared" si="2"/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3"/>
        <v>0</v>
      </c>
    </row>
    <row r="14" spans="1:21" ht="15" customHeight="1" x14ac:dyDescent="0.25">
      <c r="A14" s="24"/>
      <c r="B14" s="24"/>
      <c r="C14" s="24"/>
      <c r="D14" s="414"/>
      <c r="E14" s="24"/>
      <c r="F14" s="414"/>
      <c r="G14" s="24">
        <f t="shared" si="2"/>
        <v>0</v>
      </c>
      <c r="H14" s="414">
        <f t="shared" si="2"/>
        <v>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3"/>
        <v>0</v>
      </c>
    </row>
    <row r="15" spans="1:21" ht="15" customHeight="1" x14ac:dyDescent="0.25">
      <c r="A15" s="443" t="s">
        <v>1221</v>
      </c>
      <c r="B15" s="444"/>
      <c r="C15" s="474">
        <f t="shared" ref="C15:H15" si="4">SUM(C5:C14)</f>
        <v>43</v>
      </c>
      <c r="D15" s="475">
        <f t="shared" si="4"/>
        <v>70368.5</v>
      </c>
      <c r="E15" s="474">
        <f t="shared" si="4"/>
        <v>43</v>
      </c>
      <c r="F15" s="475">
        <f t="shared" si="4"/>
        <v>73145</v>
      </c>
      <c r="G15" s="474">
        <f t="shared" si="4"/>
        <v>0</v>
      </c>
      <c r="H15" s="475">
        <f t="shared" si="4"/>
        <v>2776.5</v>
      </c>
      <c r="I15" s="447">
        <f t="shared" ref="I15:U15" si="5">SUM(I5:I14)</f>
        <v>0</v>
      </c>
      <c r="J15" s="447">
        <f t="shared" si="5"/>
        <v>0</v>
      </c>
      <c r="K15" s="447">
        <f t="shared" si="5"/>
        <v>0</v>
      </c>
      <c r="L15" s="447">
        <f t="shared" si="5"/>
        <v>0</v>
      </c>
      <c r="M15" s="447">
        <f t="shared" si="5"/>
        <v>0</v>
      </c>
      <c r="N15" s="447">
        <f t="shared" si="5"/>
        <v>0</v>
      </c>
      <c r="O15" s="447">
        <f t="shared" si="5"/>
        <v>0</v>
      </c>
      <c r="P15" s="447">
        <f t="shared" si="5"/>
        <v>0</v>
      </c>
      <c r="Q15" s="447">
        <f t="shared" si="5"/>
        <v>0</v>
      </c>
      <c r="R15" s="447">
        <f t="shared" si="5"/>
        <v>0</v>
      </c>
      <c r="S15" s="447">
        <f t="shared" si="5"/>
        <v>0</v>
      </c>
      <c r="T15" s="447">
        <f t="shared" si="5"/>
        <v>0</v>
      </c>
      <c r="U15" s="447">
        <f t="shared" si="5"/>
        <v>0</v>
      </c>
    </row>
    <row r="17" spans="1:21" x14ac:dyDescent="0.25">
      <c r="A17" s="739" t="s">
        <v>1227</v>
      </c>
      <c r="B17" s="739"/>
    </row>
    <row r="18" spans="1:21" ht="30" x14ac:dyDescent="0.25">
      <c r="A18" s="449" t="s">
        <v>1</v>
      </c>
      <c r="B18" s="449" t="s">
        <v>59</v>
      </c>
      <c r="C18" s="425" t="s">
        <v>1222</v>
      </c>
      <c r="D18" s="425" t="s">
        <v>1223</v>
      </c>
      <c r="E18" s="425" t="s">
        <v>392</v>
      </c>
      <c r="F18" s="426" t="s">
        <v>2</v>
      </c>
      <c r="G18" s="432" t="s">
        <v>1225</v>
      </c>
      <c r="H18" s="427" t="s">
        <v>1224</v>
      </c>
      <c r="I18" s="424" t="s">
        <v>681</v>
      </c>
      <c r="J18" s="424" t="s">
        <v>77</v>
      </c>
      <c r="K18" s="424" t="s">
        <v>682</v>
      </c>
      <c r="L18" s="424" t="s">
        <v>683</v>
      </c>
      <c r="M18" s="424" t="s">
        <v>87</v>
      </c>
      <c r="N18" s="424" t="s">
        <v>684</v>
      </c>
      <c r="O18" s="424" t="s">
        <v>685</v>
      </c>
      <c r="P18" s="424" t="s">
        <v>690</v>
      </c>
      <c r="Q18" s="424" t="s">
        <v>686</v>
      </c>
      <c r="R18" s="424" t="s">
        <v>687</v>
      </c>
      <c r="S18" s="424" t="s">
        <v>688</v>
      </c>
      <c r="T18" s="424" t="s">
        <v>689</v>
      </c>
      <c r="U18" s="424" t="s">
        <v>1238</v>
      </c>
    </row>
    <row r="19" spans="1:21" ht="15" customHeight="1" x14ac:dyDescent="0.25">
      <c r="A19" s="27" t="s">
        <v>1309</v>
      </c>
      <c r="B19" s="24" t="s">
        <v>115</v>
      </c>
      <c r="C19" s="430">
        <v>42096</v>
      </c>
      <c r="D19" s="431">
        <v>42223</v>
      </c>
      <c r="E19" s="421">
        <v>125</v>
      </c>
      <c r="F19" s="431">
        <v>42223</v>
      </c>
      <c r="G19" s="421">
        <v>6</v>
      </c>
      <c r="H19" s="28">
        <f>9570+2200</f>
        <v>11770</v>
      </c>
      <c r="I19" s="24">
        <v>3</v>
      </c>
      <c r="J19" s="24"/>
      <c r="K19" s="24"/>
      <c r="L19" s="24"/>
      <c r="M19" s="24">
        <v>3</v>
      </c>
      <c r="N19" s="24"/>
      <c r="O19" s="24"/>
      <c r="P19" s="24"/>
      <c r="Q19" s="24"/>
      <c r="R19" s="24"/>
      <c r="S19" s="24"/>
      <c r="T19" s="24"/>
      <c r="U19" s="24">
        <f t="shared" ref="U19:U24" si="6">SUM(I19:T19)</f>
        <v>6</v>
      </c>
    </row>
    <row r="20" spans="1:21" ht="15" customHeight="1" x14ac:dyDescent="0.25">
      <c r="A20" s="27" t="s">
        <v>1380</v>
      </c>
      <c r="B20" s="24" t="s">
        <v>115</v>
      </c>
      <c r="C20" s="430">
        <v>41773</v>
      </c>
      <c r="D20" s="431">
        <v>42237</v>
      </c>
      <c r="E20" s="421" t="s">
        <v>1381</v>
      </c>
      <c r="F20" s="431">
        <v>42237</v>
      </c>
      <c r="G20" s="421">
        <v>1</v>
      </c>
      <c r="H20" s="28">
        <v>1550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>
        <v>1</v>
      </c>
      <c r="U20" s="24">
        <f t="shared" si="6"/>
        <v>1</v>
      </c>
    </row>
    <row r="21" spans="1:21" ht="15" customHeight="1" x14ac:dyDescent="0.25">
      <c r="A21" s="27" t="s">
        <v>1384</v>
      </c>
      <c r="B21" s="24" t="s">
        <v>115</v>
      </c>
      <c r="C21" s="430">
        <v>42142</v>
      </c>
      <c r="D21" s="431">
        <v>42242</v>
      </c>
      <c r="E21" s="421">
        <v>98</v>
      </c>
      <c r="F21" s="431">
        <v>42234</v>
      </c>
      <c r="G21" s="421">
        <v>2</v>
      </c>
      <c r="H21" s="28">
        <v>3190</v>
      </c>
      <c r="I21" s="24">
        <v>1</v>
      </c>
      <c r="J21" s="24">
        <v>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si="6"/>
        <v>2</v>
      </c>
    </row>
    <row r="22" spans="1:21" ht="15" customHeight="1" x14ac:dyDescent="0.25">
      <c r="A22" s="27"/>
      <c r="B22" s="24"/>
      <c r="C22" s="430"/>
      <c r="D22" s="431"/>
      <c r="E22" s="421"/>
      <c r="F22" s="431"/>
      <c r="G22" s="421"/>
      <c r="H22" s="2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6"/>
        <v>0</v>
      </c>
    </row>
    <row r="23" spans="1:21" ht="15" customHeight="1" x14ac:dyDescent="0.25">
      <c r="A23" s="27"/>
      <c r="B23" s="24"/>
      <c r="C23" s="430"/>
      <c r="D23" s="431"/>
      <c r="E23" s="421"/>
      <c r="F23" s="431"/>
      <c r="G23" s="421"/>
      <c r="H23" s="2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6"/>
        <v>0</v>
      </c>
    </row>
    <row r="24" spans="1:21" ht="15" customHeight="1" x14ac:dyDescent="0.25">
      <c r="A24" s="27"/>
      <c r="B24" s="24"/>
      <c r="C24" s="430"/>
      <c r="D24" s="431"/>
      <c r="E24" s="421"/>
      <c r="F24" s="431"/>
      <c r="G24" s="421"/>
      <c r="H24" s="2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6"/>
        <v>0</v>
      </c>
    </row>
    <row r="25" spans="1:21" ht="15" customHeight="1" x14ac:dyDescent="0.25">
      <c r="A25" s="443" t="s">
        <v>1226</v>
      </c>
      <c r="B25" s="444"/>
      <c r="C25" s="445"/>
      <c r="D25" s="446"/>
      <c r="E25" s="447"/>
      <c r="F25" s="446"/>
      <c r="G25" s="447">
        <f>SUM(G19:G24)</f>
        <v>9</v>
      </c>
      <c r="H25" s="448">
        <f>SUM(H19:H24)</f>
        <v>16510</v>
      </c>
      <c r="I25" s="447">
        <f t="shared" ref="I25:U25" si="7">SUM(I19:I24)</f>
        <v>4</v>
      </c>
      <c r="J25" s="447">
        <f t="shared" si="7"/>
        <v>1</v>
      </c>
      <c r="K25" s="447">
        <f t="shared" si="7"/>
        <v>0</v>
      </c>
      <c r="L25" s="447">
        <f t="shared" si="7"/>
        <v>0</v>
      </c>
      <c r="M25" s="447">
        <f t="shared" si="7"/>
        <v>3</v>
      </c>
      <c r="N25" s="447">
        <f t="shared" si="7"/>
        <v>0</v>
      </c>
      <c r="O25" s="447">
        <f t="shared" si="7"/>
        <v>0</v>
      </c>
      <c r="P25" s="447">
        <f t="shared" si="7"/>
        <v>0</v>
      </c>
      <c r="Q25" s="447">
        <f t="shared" si="7"/>
        <v>0</v>
      </c>
      <c r="R25" s="447">
        <f t="shared" si="7"/>
        <v>0</v>
      </c>
      <c r="S25" s="447">
        <f t="shared" si="7"/>
        <v>0</v>
      </c>
      <c r="T25" s="447">
        <f t="shared" si="7"/>
        <v>1</v>
      </c>
      <c r="U25" s="447">
        <f t="shared" si="7"/>
        <v>9</v>
      </c>
    </row>
    <row r="26" spans="1:21" ht="15" customHeight="1" x14ac:dyDescent="0.25">
      <c r="A26" s="428"/>
      <c r="B26" s="422"/>
      <c r="C26" s="422"/>
      <c r="D26" s="429"/>
      <c r="E26" s="422"/>
      <c r="F26" s="429"/>
      <c r="G26" s="433"/>
      <c r="H26" s="422"/>
    </row>
    <row r="27" spans="1:21" x14ac:dyDescent="0.25">
      <c r="A27" s="739" t="s">
        <v>1228</v>
      </c>
      <c r="B27" s="739"/>
      <c r="G27" s="420"/>
    </row>
    <row r="28" spans="1:21" ht="30" x14ac:dyDescent="0.25">
      <c r="A28" s="449" t="s">
        <v>1</v>
      </c>
      <c r="B28" s="449" t="s">
        <v>59</v>
      </c>
      <c r="C28" s="425" t="s">
        <v>1222</v>
      </c>
      <c r="D28" s="425" t="s">
        <v>1223</v>
      </c>
      <c r="E28" s="425" t="s">
        <v>392</v>
      </c>
      <c r="F28" s="426" t="s">
        <v>2</v>
      </c>
      <c r="G28" s="432" t="s">
        <v>1225</v>
      </c>
      <c r="H28" s="427" t="s">
        <v>1224</v>
      </c>
      <c r="I28" s="424" t="s">
        <v>681</v>
      </c>
      <c r="J28" s="424" t="s">
        <v>77</v>
      </c>
      <c r="K28" s="424" t="s">
        <v>682</v>
      </c>
      <c r="L28" s="424" t="s">
        <v>683</v>
      </c>
      <c r="M28" s="424" t="s">
        <v>87</v>
      </c>
      <c r="N28" s="424" t="s">
        <v>684</v>
      </c>
      <c r="O28" s="424" t="s">
        <v>685</v>
      </c>
      <c r="P28" s="424" t="s">
        <v>690</v>
      </c>
      <c r="Q28" s="424" t="s">
        <v>686</v>
      </c>
      <c r="R28" s="424" t="s">
        <v>687</v>
      </c>
      <c r="S28" s="424" t="s">
        <v>688</v>
      </c>
      <c r="T28" s="424" t="s">
        <v>689</v>
      </c>
      <c r="U28" s="424" t="s">
        <v>1238</v>
      </c>
    </row>
    <row r="29" spans="1:21" ht="15" customHeight="1" x14ac:dyDescent="0.25">
      <c r="A29" s="406" t="s">
        <v>1283</v>
      </c>
      <c r="B29" s="24" t="s">
        <v>60</v>
      </c>
      <c r="C29" s="430">
        <v>42068</v>
      </c>
      <c r="D29" s="431">
        <v>42087</v>
      </c>
      <c r="E29" s="421">
        <v>19</v>
      </c>
      <c r="F29" s="431">
        <v>42217</v>
      </c>
      <c r="G29" s="421">
        <v>1</v>
      </c>
      <c r="H29" s="28">
        <v>2174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v>1</v>
      </c>
      <c r="T29" s="24"/>
      <c r="U29" s="24">
        <f t="shared" ref="U29:U37" si="8">SUM(I29:T29)</f>
        <v>1</v>
      </c>
    </row>
    <row r="30" spans="1:21" ht="15" customHeight="1" x14ac:dyDescent="0.25">
      <c r="A30" s="27" t="s">
        <v>1373</v>
      </c>
      <c r="B30" s="24" t="s">
        <v>115</v>
      </c>
      <c r="C30" s="430">
        <v>42130</v>
      </c>
      <c r="D30" s="431">
        <v>42216</v>
      </c>
      <c r="E30" s="421">
        <v>80</v>
      </c>
      <c r="F30" s="431">
        <v>42217</v>
      </c>
      <c r="G30" s="421">
        <v>1</v>
      </c>
      <c r="H30" s="28">
        <v>2237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1</v>
      </c>
      <c r="T30" s="24"/>
      <c r="U30" s="24">
        <f t="shared" si="8"/>
        <v>1</v>
      </c>
    </row>
    <row r="31" spans="1:21" ht="15" customHeight="1" x14ac:dyDescent="0.25">
      <c r="A31" s="27" t="s">
        <v>1382</v>
      </c>
      <c r="B31" s="24" t="s">
        <v>60</v>
      </c>
      <c r="C31" s="430">
        <v>42167</v>
      </c>
      <c r="D31" s="431">
        <v>42237</v>
      </c>
      <c r="E31" s="421">
        <v>71</v>
      </c>
      <c r="F31" s="431">
        <v>42215</v>
      </c>
      <c r="G31" s="421">
        <v>1</v>
      </c>
      <c r="H31" s="28">
        <v>840</v>
      </c>
      <c r="I31" s="24"/>
      <c r="J31" s="24"/>
      <c r="K31" s="24"/>
      <c r="L31" s="24"/>
      <c r="M31" s="24">
        <v>1</v>
      </c>
      <c r="N31" s="24"/>
      <c r="O31" s="24"/>
      <c r="P31" s="24"/>
      <c r="Q31" s="24"/>
      <c r="R31" s="24"/>
      <c r="S31" s="24"/>
      <c r="T31" s="24"/>
      <c r="U31" s="24">
        <f t="shared" si="8"/>
        <v>1</v>
      </c>
    </row>
    <row r="32" spans="1:21" ht="15" customHeight="1" x14ac:dyDescent="0.25">
      <c r="A32" s="27"/>
      <c r="B32" s="24"/>
      <c r="C32" s="430"/>
      <c r="D32" s="431"/>
      <c r="E32" s="421"/>
      <c r="F32" s="431"/>
      <c r="G32" s="421"/>
      <c r="H32" s="2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 t="shared" si="8"/>
        <v>0</v>
      </c>
    </row>
    <row r="33" spans="1:21" ht="15" customHeight="1" x14ac:dyDescent="0.25">
      <c r="A33" s="27"/>
      <c r="B33" s="24"/>
      <c r="C33" s="430"/>
      <c r="D33" s="431"/>
      <c r="E33" s="421"/>
      <c r="F33" s="431"/>
      <c r="G33" s="421"/>
      <c r="H33" s="28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f t="shared" si="8"/>
        <v>0</v>
      </c>
    </row>
    <row r="34" spans="1:21" ht="15" customHeight="1" x14ac:dyDescent="0.25">
      <c r="A34" s="27"/>
      <c r="B34" s="24"/>
      <c r="C34" s="430"/>
      <c r="D34" s="431"/>
      <c r="E34" s="421"/>
      <c r="F34" s="431"/>
      <c r="G34" s="421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 t="shared" si="8"/>
        <v>0</v>
      </c>
    </row>
    <row r="35" spans="1:21" ht="15" customHeight="1" x14ac:dyDescent="0.25">
      <c r="A35" s="27"/>
      <c r="B35" s="24"/>
      <c r="C35" s="430"/>
      <c r="D35" s="431"/>
      <c r="E35" s="421"/>
      <c r="F35" s="431"/>
      <c r="G35" s="421"/>
      <c r="H35" s="28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f t="shared" si="8"/>
        <v>0</v>
      </c>
    </row>
    <row r="36" spans="1:21" ht="15" customHeight="1" x14ac:dyDescent="0.25">
      <c r="A36" s="27"/>
      <c r="B36" s="24"/>
      <c r="C36" s="430"/>
      <c r="D36" s="431"/>
      <c r="E36" s="421"/>
      <c r="F36" s="431"/>
      <c r="G36" s="421"/>
      <c r="H36" s="28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f t="shared" si="8"/>
        <v>0</v>
      </c>
    </row>
    <row r="37" spans="1:21" ht="15" customHeight="1" x14ac:dyDescent="0.25">
      <c r="A37" s="27"/>
      <c r="B37" s="24"/>
      <c r="C37" s="430"/>
      <c r="D37" s="431"/>
      <c r="E37" s="421"/>
      <c r="F37" s="431"/>
      <c r="G37" s="421"/>
      <c r="H37" s="28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f t="shared" si="8"/>
        <v>0</v>
      </c>
    </row>
    <row r="38" spans="1:21" ht="15" customHeight="1" x14ac:dyDescent="0.25">
      <c r="A38" s="443" t="s">
        <v>450</v>
      </c>
      <c r="B38" s="444"/>
      <c r="C38" s="445"/>
      <c r="D38" s="446"/>
      <c r="E38" s="447"/>
      <c r="F38" s="446"/>
      <c r="G38" s="447">
        <f>SUM(G29:G37)</f>
        <v>3</v>
      </c>
      <c r="H38" s="448">
        <f>SUM(H29:H37)</f>
        <v>5251</v>
      </c>
      <c r="I38" s="447">
        <f t="shared" ref="I38:U38" si="9">SUM(I29:I37)</f>
        <v>0</v>
      </c>
      <c r="J38" s="447">
        <f t="shared" si="9"/>
        <v>0</v>
      </c>
      <c r="K38" s="447">
        <f t="shared" si="9"/>
        <v>0</v>
      </c>
      <c r="L38" s="447">
        <f t="shared" si="9"/>
        <v>0</v>
      </c>
      <c r="M38" s="447">
        <f t="shared" si="9"/>
        <v>1</v>
      </c>
      <c r="N38" s="447">
        <f t="shared" si="9"/>
        <v>0</v>
      </c>
      <c r="O38" s="447">
        <f t="shared" si="9"/>
        <v>0</v>
      </c>
      <c r="P38" s="447">
        <f t="shared" si="9"/>
        <v>0</v>
      </c>
      <c r="Q38" s="447">
        <f t="shared" si="9"/>
        <v>0</v>
      </c>
      <c r="R38" s="447">
        <f t="shared" si="9"/>
        <v>0</v>
      </c>
      <c r="S38" s="447">
        <f t="shared" si="9"/>
        <v>2</v>
      </c>
      <c r="T38" s="447">
        <f t="shared" si="9"/>
        <v>0</v>
      </c>
      <c r="U38" s="447">
        <f t="shared" si="9"/>
        <v>3</v>
      </c>
    </row>
    <row r="40" spans="1:21" x14ac:dyDescent="0.25">
      <c r="A40" s="739" t="s">
        <v>1229</v>
      </c>
      <c r="B40" s="739"/>
    </row>
    <row r="41" spans="1:21" ht="30" x14ac:dyDescent="0.25">
      <c r="A41" s="449" t="s">
        <v>1</v>
      </c>
      <c r="B41" s="449" t="s">
        <v>59</v>
      </c>
      <c r="C41" s="425"/>
      <c r="D41" s="425"/>
      <c r="E41" s="425"/>
      <c r="F41" s="426"/>
      <c r="G41" s="432" t="s">
        <v>1225</v>
      </c>
      <c r="H41" s="427" t="s">
        <v>1224</v>
      </c>
      <c r="I41" s="424" t="s">
        <v>681</v>
      </c>
      <c r="J41" s="424" t="s">
        <v>77</v>
      </c>
      <c r="K41" s="424" t="s">
        <v>682</v>
      </c>
      <c r="L41" s="424" t="s">
        <v>683</v>
      </c>
      <c r="M41" s="424" t="s">
        <v>87</v>
      </c>
      <c r="N41" s="424" t="s">
        <v>684</v>
      </c>
      <c r="O41" s="424" t="s">
        <v>685</v>
      </c>
      <c r="P41" s="424" t="s">
        <v>690</v>
      </c>
      <c r="Q41" s="424" t="s">
        <v>686</v>
      </c>
      <c r="R41" s="424" t="s">
        <v>687</v>
      </c>
      <c r="S41" s="424" t="s">
        <v>688</v>
      </c>
      <c r="T41" s="424" t="s">
        <v>689</v>
      </c>
      <c r="U41" s="424" t="s">
        <v>1238</v>
      </c>
    </row>
    <row r="42" spans="1:21" ht="15" customHeight="1" x14ac:dyDescent="0.25">
      <c r="A42" s="27" t="s">
        <v>1382</v>
      </c>
      <c r="B42" s="24" t="s">
        <v>60</v>
      </c>
      <c r="C42" s="430">
        <v>42167</v>
      </c>
      <c r="D42" s="431">
        <v>42237</v>
      </c>
      <c r="E42" s="421">
        <v>71</v>
      </c>
      <c r="F42" s="431">
        <v>42215</v>
      </c>
      <c r="G42" s="421">
        <v>-1</v>
      </c>
      <c r="H42" s="28">
        <v>-1365</v>
      </c>
      <c r="I42" s="24"/>
      <c r="J42" s="24"/>
      <c r="K42" s="24"/>
      <c r="L42" s="24"/>
      <c r="M42" s="24"/>
      <c r="N42" s="24"/>
      <c r="O42" s="24"/>
      <c r="P42" s="24"/>
      <c r="Q42" s="24"/>
      <c r="R42" s="24">
        <v>-1</v>
      </c>
      <c r="S42" s="24"/>
      <c r="T42" s="24"/>
      <c r="U42" s="24">
        <f t="shared" ref="U42:U44" si="10">SUM(I42:T42)</f>
        <v>-1</v>
      </c>
    </row>
    <row r="43" spans="1:21" ht="15" customHeight="1" x14ac:dyDescent="0.25">
      <c r="A43" s="27"/>
      <c r="B43" s="24"/>
      <c r="C43" s="430"/>
      <c r="D43" s="431"/>
      <c r="E43" s="421"/>
      <c r="F43" s="431"/>
      <c r="G43" s="421"/>
      <c r="H43" s="28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 t="shared" si="10"/>
        <v>0</v>
      </c>
    </row>
    <row r="44" spans="1:21" ht="15" customHeight="1" x14ac:dyDescent="0.25">
      <c r="A44" s="27"/>
      <c r="B44" s="24"/>
      <c r="C44" s="430"/>
      <c r="D44" s="431"/>
      <c r="E44" s="421"/>
      <c r="F44" s="431"/>
      <c r="G44" s="421"/>
      <c r="H44" s="2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f t="shared" si="10"/>
        <v>0</v>
      </c>
    </row>
    <row r="45" spans="1:21" ht="15" customHeight="1" x14ac:dyDescent="0.25">
      <c r="A45" s="443" t="s">
        <v>1230</v>
      </c>
      <c r="B45" s="444"/>
      <c r="C45" s="445"/>
      <c r="D45" s="446"/>
      <c r="E45" s="447"/>
      <c r="F45" s="446"/>
      <c r="G45" s="447">
        <f>SUM(G42:G44)</f>
        <v>-1</v>
      </c>
      <c r="H45" s="448">
        <f>SUM(H42:H44)</f>
        <v>-1365</v>
      </c>
      <c r="I45" s="447">
        <f t="shared" ref="I45:U45" si="11">SUM(I42:I44)</f>
        <v>0</v>
      </c>
      <c r="J45" s="447">
        <f t="shared" si="11"/>
        <v>0</v>
      </c>
      <c r="K45" s="447">
        <f t="shared" si="11"/>
        <v>0</v>
      </c>
      <c r="L45" s="447">
        <f t="shared" si="11"/>
        <v>0</v>
      </c>
      <c r="M45" s="447">
        <f t="shared" si="11"/>
        <v>0</v>
      </c>
      <c r="N45" s="447">
        <f t="shared" si="11"/>
        <v>0</v>
      </c>
      <c r="O45" s="447">
        <f t="shared" si="11"/>
        <v>0</v>
      </c>
      <c r="P45" s="447">
        <f t="shared" si="11"/>
        <v>0</v>
      </c>
      <c r="Q45" s="447">
        <f t="shared" si="11"/>
        <v>0</v>
      </c>
      <c r="R45" s="447">
        <f t="shared" si="11"/>
        <v>-1</v>
      </c>
      <c r="S45" s="447">
        <f t="shared" si="11"/>
        <v>0</v>
      </c>
      <c r="T45" s="447">
        <f t="shared" si="11"/>
        <v>0</v>
      </c>
      <c r="U45" s="447">
        <f t="shared" si="11"/>
        <v>-1</v>
      </c>
    </row>
    <row r="47" spans="1:21" x14ac:dyDescent="0.25">
      <c r="A47" s="739" t="s">
        <v>1231</v>
      </c>
      <c r="B47" s="739"/>
    </row>
    <row r="48" spans="1:21" ht="30" x14ac:dyDescent="0.25">
      <c r="A48" s="449" t="s">
        <v>1</v>
      </c>
      <c r="B48" s="449" t="s">
        <v>59</v>
      </c>
      <c r="C48" s="425" t="s">
        <v>1222</v>
      </c>
      <c r="D48" s="425" t="s">
        <v>1223</v>
      </c>
      <c r="E48" s="425" t="s">
        <v>392</v>
      </c>
      <c r="F48" s="426" t="s">
        <v>2</v>
      </c>
      <c r="G48" s="432" t="s">
        <v>1225</v>
      </c>
      <c r="H48" s="427" t="s">
        <v>1224</v>
      </c>
      <c r="I48" s="424" t="s">
        <v>681</v>
      </c>
      <c r="J48" s="424" t="s">
        <v>77</v>
      </c>
      <c r="K48" s="424" t="s">
        <v>682</v>
      </c>
      <c r="L48" s="424" t="s">
        <v>683</v>
      </c>
      <c r="M48" s="424" t="s">
        <v>87</v>
      </c>
      <c r="N48" s="424" t="s">
        <v>684</v>
      </c>
      <c r="O48" s="424" t="s">
        <v>685</v>
      </c>
      <c r="P48" s="424" t="s">
        <v>690</v>
      </c>
      <c r="Q48" s="424" t="s">
        <v>686</v>
      </c>
      <c r="R48" s="424" t="s">
        <v>687</v>
      </c>
      <c r="S48" s="424" t="s">
        <v>688</v>
      </c>
      <c r="T48" s="424" t="s">
        <v>689</v>
      </c>
      <c r="U48" s="424" t="s">
        <v>1238</v>
      </c>
    </row>
    <row r="49" spans="1:21" ht="15" customHeight="1" x14ac:dyDescent="0.25">
      <c r="A49" s="9" t="s">
        <v>329</v>
      </c>
      <c r="B49" s="24" t="s">
        <v>1293</v>
      </c>
      <c r="C49" s="430"/>
      <c r="D49" s="431"/>
      <c r="E49" s="421"/>
      <c r="F49" s="431"/>
      <c r="G49" s="421">
        <v>-3</v>
      </c>
      <c r="H49" s="28">
        <v>-8920</v>
      </c>
      <c r="I49" s="24"/>
      <c r="J49" s="24"/>
      <c r="K49" s="24">
        <v>-1</v>
      </c>
      <c r="L49" s="24"/>
      <c r="M49" s="24"/>
      <c r="N49" s="24">
        <v>-1</v>
      </c>
      <c r="O49" s="24"/>
      <c r="P49" s="24">
        <v>-1</v>
      </c>
      <c r="Q49" s="24"/>
      <c r="R49" s="24"/>
      <c r="S49" s="24"/>
      <c r="T49" s="24"/>
      <c r="U49" s="24">
        <f t="shared" ref="U49:U51" si="12">SUM(I49:T49)</f>
        <v>-3</v>
      </c>
    </row>
    <row r="50" spans="1:21" ht="15" customHeight="1" x14ac:dyDescent="0.25">
      <c r="A50" s="27"/>
      <c r="B50" s="24"/>
      <c r="C50" s="430"/>
      <c r="D50" s="431"/>
      <c r="E50" s="421"/>
      <c r="F50" s="431"/>
      <c r="G50" s="421"/>
      <c r="H50" s="28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>
        <f t="shared" si="12"/>
        <v>0</v>
      </c>
    </row>
    <row r="51" spans="1:21" ht="15" customHeight="1" x14ac:dyDescent="0.25">
      <c r="A51" s="27"/>
      <c r="B51" s="24"/>
      <c r="C51" s="430"/>
      <c r="D51" s="431"/>
      <c r="E51" s="421"/>
      <c r="F51" s="431"/>
      <c r="G51" s="421"/>
      <c r="H51" s="28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f t="shared" si="12"/>
        <v>0</v>
      </c>
    </row>
    <row r="52" spans="1:21" ht="15" customHeight="1" x14ac:dyDescent="0.25">
      <c r="A52" s="443" t="s">
        <v>1230</v>
      </c>
      <c r="B52" s="444"/>
      <c r="C52" s="445"/>
      <c r="D52" s="446"/>
      <c r="E52" s="447"/>
      <c r="F52" s="446"/>
      <c r="G52" s="447">
        <f>SUM(G49:G51)</f>
        <v>-3</v>
      </c>
      <c r="H52" s="448">
        <f>SUM(H49:H51)</f>
        <v>-8920</v>
      </c>
      <c r="I52" s="447">
        <f t="shared" ref="I52:U52" si="13">SUM(I49:I51)</f>
        <v>0</v>
      </c>
      <c r="J52" s="447">
        <f t="shared" si="13"/>
        <v>0</v>
      </c>
      <c r="K52" s="447">
        <f t="shared" si="13"/>
        <v>-1</v>
      </c>
      <c r="L52" s="447">
        <f t="shared" si="13"/>
        <v>0</v>
      </c>
      <c r="M52" s="447">
        <f t="shared" si="13"/>
        <v>0</v>
      </c>
      <c r="N52" s="447">
        <f t="shared" si="13"/>
        <v>-1</v>
      </c>
      <c r="O52" s="447">
        <f t="shared" si="13"/>
        <v>0</v>
      </c>
      <c r="P52" s="447">
        <f t="shared" si="13"/>
        <v>-1</v>
      </c>
      <c r="Q52" s="447">
        <f t="shared" si="13"/>
        <v>0</v>
      </c>
      <c r="R52" s="447">
        <f t="shared" si="13"/>
        <v>0</v>
      </c>
      <c r="S52" s="447">
        <f t="shared" si="13"/>
        <v>0</v>
      </c>
      <c r="T52" s="447">
        <f t="shared" si="13"/>
        <v>0</v>
      </c>
      <c r="U52" s="447">
        <f t="shared" si="13"/>
        <v>-3</v>
      </c>
    </row>
    <row r="53" spans="1:21" ht="15.75" thickBot="1" x14ac:dyDescent="0.3"/>
    <row r="54" spans="1:21" ht="15.75" thickBot="1" x14ac:dyDescent="0.3">
      <c r="A54" s="436" t="s">
        <v>1232</v>
      </c>
      <c r="B54" s="434"/>
      <c r="C54" s="434"/>
      <c r="D54" s="434"/>
      <c r="E54" s="434"/>
      <c r="F54" s="434"/>
      <c r="G54" s="437">
        <f>G15+G25+G38+G45+G52</f>
        <v>8</v>
      </c>
      <c r="H54" s="438">
        <f>H15+H25+H38+H45+H52</f>
        <v>14252.5</v>
      </c>
      <c r="I54" s="450">
        <f>I15+I25+I38+I45+I52</f>
        <v>4</v>
      </c>
      <c r="J54" s="450">
        <f t="shared" ref="J54:U54" si="14">J15+J25+J38+J45+J52</f>
        <v>1</v>
      </c>
      <c r="K54" s="450">
        <f t="shared" si="14"/>
        <v>-1</v>
      </c>
      <c r="L54" s="450">
        <f t="shared" si="14"/>
        <v>0</v>
      </c>
      <c r="M54" s="450">
        <f t="shared" si="14"/>
        <v>4</v>
      </c>
      <c r="N54" s="450">
        <f t="shared" si="14"/>
        <v>-1</v>
      </c>
      <c r="O54" s="450">
        <f t="shared" si="14"/>
        <v>0</v>
      </c>
      <c r="P54" s="450">
        <f t="shared" si="14"/>
        <v>-1</v>
      </c>
      <c r="Q54" s="450">
        <f t="shared" si="14"/>
        <v>0</v>
      </c>
      <c r="R54" s="450">
        <f t="shared" si="14"/>
        <v>-1</v>
      </c>
      <c r="S54" s="450">
        <f t="shared" si="14"/>
        <v>2</v>
      </c>
      <c r="T54" s="450">
        <f t="shared" si="14"/>
        <v>1</v>
      </c>
      <c r="U54" s="450">
        <f t="shared" si="14"/>
        <v>8</v>
      </c>
    </row>
    <row r="55" spans="1:21" ht="15.75" thickBot="1" x14ac:dyDescent="0.3">
      <c r="A55" s="436" t="s">
        <v>64</v>
      </c>
      <c r="B55" s="434"/>
      <c r="C55" s="434"/>
      <c r="D55" s="434"/>
      <c r="E55" s="434"/>
      <c r="F55" s="434"/>
      <c r="G55" s="437"/>
      <c r="H55" s="438"/>
    </row>
    <row r="56" spans="1:21" ht="15.75" thickBot="1" x14ac:dyDescent="0.3">
      <c r="A56" s="439" t="s">
        <v>452</v>
      </c>
      <c r="B56" s="440"/>
      <c r="C56" s="440"/>
      <c r="D56" s="440"/>
      <c r="E56" s="440"/>
      <c r="F56" s="440"/>
      <c r="G56" s="441"/>
      <c r="H56" s="442">
        <f>H54-H55</f>
        <v>14252.5</v>
      </c>
    </row>
    <row r="57" spans="1:21" x14ac:dyDescent="0.25">
      <c r="H57" s="435">
        <f>H25</f>
        <v>16510</v>
      </c>
    </row>
    <row r="58" spans="1:21" x14ac:dyDescent="0.25">
      <c r="H58" s="435">
        <f>H15+H38+H45+H52</f>
        <v>-2257.5</v>
      </c>
    </row>
    <row r="59" spans="1:21" x14ac:dyDescent="0.25">
      <c r="H59" s="435"/>
    </row>
  </sheetData>
  <mergeCells count="8">
    <mergeCell ref="G3:H3"/>
    <mergeCell ref="A17:B17"/>
    <mergeCell ref="A27:B27"/>
    <mergeCell ref="A40:B40"/>
    <mergeCell ref="A47:B47"/>
    <mergeCell ref="A3:B3"/>
    <mergeCell ref="C3:D3"/>
    <mergeCell ref="E3:F3"/>
  </mergeCells>
  <pageMargins left="0.7" right="0.7" top="0.75" bottom="0.75" header="0.3" footer="0.3"/>
  <pageSetup scale="56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/>
  </sheetPr>
  <dimension ref="A1:U69"/>
  <sheetViews>
    <sheetView topLeftCell="A55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1359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6" t="s">
        <v>381</v>
      </c>
      <c r="B5" s="6" t="s">
        <v>115</v>
      </c>
      <c r="C5" s="9">
        <v>8</v>
      </c>
      <c r="D5" s="414">
        <v>12400</v>
      </c>
      <c r="E5" s="24">
        <v>8</v>
      </c>
      <c r="F5" s="414">
        <v>12760</v>
      </c>
      <c r="G5" s="24">
        <f t="shared" ref="G5:G14" si="0">E5-C5</f>
        <v>0</v>
      </c>
      <c r="H5" s="477">
        <f t="shared" ref="H5:H14" si="1">F5-D5</f>
        <v>360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0" si="2">SUM(I5:T5)</f>
        <v>0</v>
      </c>
    </row>
    <row r="6" spans="1:21" ht="14.45" customHeight="1" x14ac:dyDescent="0.25">
      <c r="A6" s="9" t="s">
        <v>266</v>
      </c>
      <c r="B6" s="9" t="s">
        <v>60</v>
      </c>
      <c r="C6" s="9">
        <v>6</v>
      </c>
      <c r="D6" s="414">
        <v>11500</v>
      </c>
      <c r="E6" s="24">
        <v>6</v>
      </c>
      <c r="F6" s="414">
        <v>11292</v>
      </c>
      <c r="G6" s="24">
        <f t="shared" si="0"/>
        <v>0</v>
      </c>
      <c r="H6" s="414">
        <f t="shared" si="1"/>
        <v>-208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2"/>
        <v>0</v>
      </c>
    </row>
    <row r="7" spans="1:21" ht="14.45" customHeight="1" x14ac:dyDescent="0.25">
      <c r="A7" s="9" t="s">
        <v>267</v>
      </c>
      <c r="B7" s="9" t="s">
        <v>60</v>
      </c>
      <c r="C7" s="9">
        <v>9</v>
      </c>
      <c r="D7" s="414">
        <v>16150</v>
      </c>
      <c r="E7" s="24">
        <v>9</v>
      </c>
      <c r="F7" s="414">
        <v>15837</v>
      </c>
      <c r="G7" s="24">
        <f t="shared" si="0"/>
        <v>0</v>
      </c>
      <c r="H7" s="414">
        <f t="shared" si="1"/>
        <v>-313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2"/>
        <v>0</v>
      </c>
    </row>
    <row r="8" spans="1:21" ht="14.45" customHeight="1" x14ac:dyDescent="0.25">
      <c r="A8" s="9" t="s">
        <v>379</v>
      </c>
      <c r="B8" s="9" t="s">
        <v>1293</v>
      </c>
      <c r="C8" s="9">
        <v>10</v>
      </c>
      <c r="D8" s="414">
        <v>10390</v>
      </c>
      <c r="E8" s="24">
        <v>10</v>
      </c>
      <c r="F8" s="414">
        <v>10800</v>
      </c>
      <c r="G8" s="24">
        <f t="shared" si="0"/>
        <v>0</v>
      </c>
      <c r="H8" s="414">
        <f t="shared" si="1"/>
        <v>410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2"/>
        <v>0</v>
      </c>
    </row>
    <row r="9" spans="1:21" ht="14.45" customHeight="1" x14ac:dyDescent="0.25">
      <c r="A9" s="9" t="s">
        <v>216</v>
      </c>
      <c r="B9" s="6" t="s">
        <v>60</v>
      </c>
      <c r="C9" s="9">
        <v>7</v>
      </c>
      <c r="D9" s="414">
        <v>10962</v>
      </c>
      <c r="E9" s="24">
        <v>7</v>
      </c>
      <c r="F9" s="414">
        <v>10310</v>
      </c>
      <c r="G9" s="24">
        <f t="shared" si="0"/>
        <v>0</v>
      </c>
      <c r="H9" s="414">
        <f t="shared" si="1"/>
        <v>-652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2"/>
        <v>0</v>
      </c>
    </row>
    <row r="10" spans="1:21" ht="14.45" customHeight="1" x14ac:dyDescent="0.25">
      <c r="A10" s="9" t="s">
        <v>378</v>
      </c>
      <c r="B10" s="9" t="s">
        <v>1293</v>
      </c>
      <c r="C10" s="9">
        <v>8</v>
      </c>
      <c r="D10" s="414">
        <v>14413.5</v>
      </c>
      <c r="E10" s="24">
        <v>8</v>
      </c>
      <c r="F10" s="414">
        <v>12285</v>
      </c>
      <c r="G10" s="24">
        <f t="shared" si="0"/>
        <v>0</v>
      </c>
      <c r="H10" s="414">
        <f t="shared" si="1"/>
        <v>-2128.5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2"/>
        <v>0</v>
      </c>
    </row>
    <row r="11" spans="1:21" ht="14.45" customHeight="1" x14ac:dyDescent="0.25">
      <c r="A11" s="6" t="s">
        <v>208</v>
      </c>
      <c r="B11" s="6" t="s">
        <v>1293</v>
      </c>
      <c r="C11" s="9">
        <v>8</v>
      </c>
      <c r="D11" s="414">
        <v>12400</v>
      </c>
      <c r="E11" s="24">
        <v>8</v>
      </c>
      <c r="F11" s="414">
        <v>12760</v>
      </c>
      <c r="G11" s="24">
        <f t="shared" si="0"/>
        <v>0</v>
      </c>
      <c r="H11" s="414">
        <f t="shared" si="1"/>
        <v>360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ref="U11:U14" si="3">SUM(I11:T11)</f>
        <v>0</v>
      </c>
    </row>
    <row r="12" spans="1:21" ht="14.45" customHeight="1" x14ac:dyDescent="0.25">
      <c r="A12" s="6" t="s">
        <v>319</v>
      </c>
      <c r="B12" s="6" t="s">
        <v>115</v>
      </c>
      <c r="C12" s="9">
        <v>1</v>
      </c>
      <c r="D12" s="414">
        <v>2415</v>
      </c>
      <c r="E12" s="24">
        <v>1</v>
      </c>
      <c r="F12" s="414">
        <v>2485</v>
      </c>
      <c r="G12" s="24">
        <f t="shared" si="0"/>
        <v>0</v>
      </c>
      <c r="H12" s="414">
        <f t="shared" si="1"/>
        <v>70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3"/>
        <v>0</v>
      </c>
    </row>
    <row r="13" spans="1:21" ht="14.45" customHeight="1" x14ac:dyDescent="0.25">
      <c r="A13" s="9" t="s">
        <v>375</v>
      </c>
      <c r="B13" s="9" t="s">
        <v>60</v>
      </c>
      <c r="C13" s="9">
        <v>8</v>
      </c>
      <c r="D13" s="414">
        <v>10000</v>
      </c>
      <c r="E13" s="24">
        <v>8</v>
      </c>
      <c r="F13" s="414">
        <v>9923</v>
      </c>
      <c r="G13" s="24">
        <f t="shared" si="0"/>
        <v>0</v>
      </c>
      <c r="H13" s="414">
        <f t="shared" si="1"/>
        <v>-77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3"/>
        <v>0</v>
      </c>
    </row>
    <row r="14" spans="1:21" ht="15" customHeight="1" x14ac:dyDescent="0.25">
      <c r="A14" s="6" t="s">
        <v>374</v>
      </c>
      <c r="B14" s="6" t="s">
        <v>1293</v>
      </c>
      <c r="C14" s="9">
        <v>2</v>
      </c>
      <c r="D14" s="414">
        <v>3100</v>
      </c>
      <c r="E14" s="24">
        <v>2</v>
      </c>
      <c r="F14" s="414">
        <v>3190</v>
      </c>
      <c r="G14" s="24">
        <f t="shared" si="0"/>
        <v>0</v>
      </c>
      <c r="H14" s="414">
        <f t="shared" si="1"/>
        <v>90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3"/>
        <v>0</v>
      </c>
    </row>
    <row r="15" spans="1:21" ht="14.45" customHeight="1" x14ac:dyDescent="0.25">
      <c r="A15" s="9" t="s">
        <v>383</v>
      </c>
      <c r="B15" s="9" t="s">
        <v>60</v>
      </c>
      <c r="C15" s="9">
        <v>2</v>
      </c>
      <c r="D15" s="414">
        <v>2730</v>
      </c>
      <c r="E15" s="24">
        <v>2</v>
      </c>
      <c r="F15" s="414">
        <v>3890</v>
      </c>
      <c r="G15" s="24">
        <f t="shared" ref="G15:H20" si="4">E15-C15</f>
        <v>0</v>
      </c>
      <c r="H15" s="414">
        <f t="shared" si="4"/>
        <v>1160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ref="U15:U20" si="5">SUM(I15:T15)</f>
        <v>0</v>
      </c>
    </row>
    <row r="16" spans="1:21" ht="14.45" customHeight="1" x14ac:dyDescent="0.25">
      <c r="A16" s="9" t="s">
        <v>384</v>
      </c>
      <c r="B16" s="9" t="s">
        <v>60</v>
      </c>
      <c r="C16" s="9">
        <v>2</v>
      </c>
      <c r="D16" s="414">
        <v>4305</v>
      </c>
      <c r="E16" s="24">
        <v>2</v>
      </c>
      <c r="F16" s="414">
        <v>2270</v>
      </c>
      <c r="G16" s="24">
        <f t="shared" si="4"/>
        <v>0</v>
      </c>
      <c r="H16" s="414">
        <f t="shared" si="4"/>
        <v>-2035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f t="shared" si="5"/>
        <v>0</v>
      </c>
    </row>
    <row r="17" spans="1:21" ht="14.45" customHeight="1" x14ac:dyDescent="0.25">
      <c r="A17" s="6" t="s">
        <v>269</v>
      </c>
      <c r="B17" s="6" t="s">
        <v>60</v>
      </c>
      <c r="C17" s="9">
        <v>7</v>
      </c>
      <c r="D17" s="414">
        <v>12690</v>
      </c>
      <c r="E17" s="24">
        <v>7</v>
      </c>
      <c r="F17" s="414">
        <v>12604</v>
      </c>
      <c r="G17" s="24">
        <f t="shared" si="4"/>
        <v>0</v>
      </c>
      <c r="H17" s="414">
        <f t="shared" si="4"/>
        <v>-86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 t="shared" si="5"/>
        <v>0</v>
      </c>
    </row>
    <row r="18" spans="1:21" ht="14.45" customHeight="1" x14ac:dyDescent="0.25">
      <c r="A18" s="9" t="s">
        <v>382</v>
      </c>
      <c r="B18" s="9" t="s">
        <v>60</v>
      </c>
      <c r="C18" s="9">
        <v>2</v>
      </c>
      <c r="D18" s="414">
        <v>2730</v>
      </c>
      <c r="E18" s="24">
        <v>2</v>
      </c>
      <c r="F18" s="414">
        <v>2270</v>
      </c>
      <c r="G18" s="24">
        <f t="shared" si="4"/>
        <v>0</v>
      </c>
      <c r="H18" s="414">
        <f t="shared" si="4"/>
        <v>-460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f t="shared" si="5"/>
        <v>0</v>
      </c>
    </row>
    <row r="19" spans="1:21" ht="14.45" customHeight="1" x14ac:dyDescent="0.25">
      <c r="A19" s="26" t="s">
        <v>326</v>
      </c>
      <c r="B19" s="6" t="s">
        <v>115</v>
      </c>
      <c r="C19" s="9">
        <v>4</v>
      </c>
      <c r="D19" s="414">
        <v>9135</v>
      </c>
      <c r="E19" s="24">
        <v>4</v>
      </c>
      <c r="F19" s="414">
        <v>8860</v>
      </c>
      <c r="G19" s="24">
        <f t="shared" si="4"/>
        <v>0</v>
      </c>
      <c r="H19" s="414">
        <f t="shared" si="4"/>
        <v>-275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f t="shared" si="5"/>
        <v>0</v>
      </c>
    </row>
    <row r="20" spans="1:21" ht="14.45" customHeight="1" x14ac:dyDescent="0.25">
      <c r="A20" s="6" t="s">
        <v>116</v>
      </c>
      <c r="B20" s="6" t="s">
        <v>1293</v>
      </c>
      <c r="C20" s="9">
        <v>3</v>
      </c>
      <c r="D20" s="414">
        <v>7870</v>
      </c>
      <c r="E20" s="24">
        <v>3</v>
      </c>
      <c r="F20" s="414">
        <v>6985</v>
      </c>
      <c r="G20" s="24">
        <f t="shared" si="4"/>
        <v>0</v>
      </c>
      <c r="H20" s="414">
        <f t="shared" si="4"/>
        <v>-885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 t="shared" si="5"/>
        <v>0</v>
      </c>
    </row>
    <row r="21" spans="1:21" ht="14.45" customHeight="1" x14ac:dyDescent="0.25">
      <c r="A21" s="9" t="s">
        <v>380</v>
      </c>
      <c r="B21" s="9" t="s">
        <v>1293</v>
      </c>
      <c r="C21" s="9">
        <v>7</v>
      </c>
      <c r="D21" s="414">
        <v>9540</v>
      </c>
      <c r="E21" s="24">
        <v>7</v>
      </c>
      <c r="F21" s="414">
        <v>10962</v>
      </c>
      <c r="G21" s="24">
        <f t="shared" ref="G21:H24" si="6">E21-C21</f>
        <v>0</v>
      </c>
      <c r="H21" s="414">
        <f t="shared" si="6"/>
        <v>1422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ref="U21:U24" si="7">SUM(I21:T21)</f>
        <v>0</v>
      </c>
    </row>
    <row r="22" spans="1:21" ht="14.45" customHeight="1" x14ac:dyDescent="0.25">
      <c r="A22" s="24"/>
      <c r="B22" s="24"/>
      <c r="C22" s="24"/>
      <c r="D22" s="414"/>
      <c r="E22" s="24"/>
      <c r="F22" s="414"/>
      <c r="G22" s="24">
        <f t="shared" si="6"/>
        <v>0</v>
      </c>
      <c r="H22" s="414">
        <f t="shared" si="6"/>
        <v>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7"/>
        <v>0</v>
      </c>
    </row>
    <row r="23" spans="1:21" ht="14.45" customHeight="1" x14ac:dyDescent="0.25">
      <c r="A23" s="24"/>
      <c r="B23" s="24"/>
      <c r="C23" s="24"/>
      <c r="D23" s="414"/>
      <c r="E23" s="24"/>
      <c r="F23" s="414"/>
      <c r="G23" s="24">
        <f t="shared" si="6"/>
        <v>0</v>
      </c>
      <c r="H23" s="414">
        <f t="shared" si="6"/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7"/>
        <v>0</v>
      </c>
    </row>
    <row r="24" spans="1:21" ht="15" customHeight="1" x14ac:dyDescent="0.25">
      <c r="A24" s="24"/>
      <c r="B24" s="24"/>
      <c r="C24" s="24"/>
      <c r="D24" s="414"/>
      <c r="E24" s="24"/>
      <c r="F24" s="414"/>
      <c r="G24" s="24">
        <f t="shared" si="6"/>
        <v>0</v>
      </c>
      <c r="H24" s="414">
        <f t="shared" si="6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7"/>
        <v>0</v>
      </c>
    </row>
    <row r="25" spans="1:21" ht="15" customHeight="1" x14ac:dyDescent="0.25">
      <c r="A25" s="443" t="s">
        <v>1221</v>
      </c>
      <c r="B25" s="444"/>
      <c r="C25" s="474">
        <f>SUM(C5:C24)</f>
        <v>94</v>
      </c>
      <c r="D25" s="447">
        <f>SUM(D5:D24)</f>
        <v>152730.5</v>
      </c>
      <c r="E25" s="474">
        <f t="shared" ref="E25:H25" si="8">SUM(E5:E24)</f>
        <v>94</v>
      </c>
      <c r="F25" s="447">
        <f t="shared" si="8"/>
        <v>149483</v>
      </c>
      <c r="G25" s="474">
        <f t="shared" si="8"/>
        <v>0</v>
      </c>
      <c r="H25" s="447">
        <f t="shared" si="8"/>
        <v>-3247.5</v>
      </c>
      <c r="I25" s="447">
        <f t="shared" ref="I25:U25" si="9">SUM(I15:I24)</f>
        <v>0</v>
      </c>
      <c r="J25" s="447">
        <f t="shared" si="9"/>
        <v>0</v>
      </c>
      <c r="K25" s="447">
        <f t="shared" si="9"/>
        <v>0</v>
      </c>
      <c r="L25" s="447">
        <f t="shared" si="9"/>
        <v>0</v>
      </c>
      <c r="M25" s="447">
        <f t="shared" si="9"/>
        <v>0</v>
      </c>
      <c r="N25" s="447">
        <f t="shared" si="9"/>
        <v>0</v>
      </c>
      <c r="O25" s="447">
        <f t="shared" si="9"/>
        <v>0</v>
      </c>
      <c r="P25" s="447">
        <f t="shared" si="9"/>
        <v>0</v>
      </c>
      <c r="Q25" s="447">
        <f t="shared" si="9"/>
        <v>0</v>
      </c>
      <c r="R25" s="447">
        <f t="shared" si="9"/>
        <v>0</v>
      </c>
      <c r="S25" s="447">
        <f t="shared" si="9"/>
        <v>0</v>
      </c>
      <c r="T25" s="447">
        <f t="shared" si="9"/>
        <v>0</v>
      </c>
      <c r="U25" s="447">
        <f t="shared" si="9"/>
        <v>0</v>
      </c>
    </row>
    <row r="27" spans="1:21" x14ac:dyDescent="0.25">
      <c r="A27" s="739" t="s">
        <v>1227</v>
      </c>
      <c r="B27" s="739"/>
    </row>
    <row r="28" spans="1:21" ht="30" x14ac:dyDescent="0.25">
      <c r="A28" s="449" t="s">
        <v>1</v>
      </c>
      <c r="B28" s="449" t="s">
        <v>59</v>
      </c>
      <c r="C28" s="425" t="s">
        <v>1222</v>
      </c>
      <c r="D28" s="425" t="s">
        <v>1223</v>
      </c>
      <c r="E28" s="425" t="s">
        <v>392</v>
      </c>
      <c r="F28" s="426" t="s">
        <v>2</v>
      </c>
      <c r="G28" s="432" t="s">
        <v>1225</v>
      </c>
      <c r="H28" s="427" t="s">
        <v>1224</v>
      </c>
      <c r="I28" s="424" t="s">
        <v>681</v>
      </c>
      <c r="J28" s="424" t="s">
        <v>77</v>
      </c>
      <c r="K28" s="424" t="s">
        <v>682</v>
      </c>
      <c r="L28" s="424" t="s">
        <v>683</v>
      </c>
      <c r="M28" s="424" t="s">
        <v>87</v>
      </c>
      <c r="N28" s="424" t="s">
        <v>684</v>
      </c>
      <c r="O28" s="424" t="s">
        <v>685</v>
      </c>
      <c r="P28" s="424" t="s">
        <v>690</v>
      </c>
      <c r="Q28" s="424" t="s">
        <v>686</v>
      </c>
      <c r="R28" s="424" t="s">
        <v>687</v>
      </c>
      <c r="S28" s="424" t="s">
        <v>688</v>
      </c>
      <c r="T28" s="424" t="s">
        <v>689</v>
      </c>
      <c r="U28" s="424" t="s">
        <v>1238</v>
      </c>
    </row>
    <row r="29" spans="1:21" ht="15" customHeight="1" x14ac:dyDescent="0.25">
      <c r="A29" s="27" t="s">
        <v>1391</v>
      </c>
      <c r="B29" s="24" t="s">
        <v>115</v>
      </c>
      <c r="C29" s="430">
        <v>42251</v>
      </c>
      <c r="D29" s="431">
        <v>42261</v>
      </c>
      <c r="E29" s="421">
        <v>10</v>
      </c>
      <c r="F29" s="431">
        <v>42255</v>
      </c>
      <c r="G29" s="421">
        <v>1</v>
      </c>
      <c r="H29" s="28">
        <v>1595</v>
      </c>
      <c r="I29" s="24"/>
      <c r="J29" s="24"/>
      <c r="K29" s="24"/>
      <c r="L29" s="24"/>
      <c r="M29" s="24"/>
      <c r="N29" s="24"/>
      <c r="O29" s="24"/>
      <c r="P29" s="24">
        <v>1</v>
      </c>
      <c r="Q29" s="24"/>
      <c r="R29" s="24"/>
      <c r="S29" s="24"/>
      <c r="T29" s="24"/>
      <c r="U29" s="24">
        <f t="shared" ref="U29:U34" si="10">SUM(I29:T29)</f>
        <v>1</v>
      </c>
    </row>
    <row r="30" spans="1:21" ht="15" customHeight="1" x14ac:dyDescent="0.25">
      <c r="A30" s="27"/>
      <c r="B30" s="24"/>
      <c r="C30" s="430"/>
      <c r="D30" s="431"/>
      <c r="E30" s="421"/>
      <c r="F30" s="431"/>
      <c r="G30" s="421"/>
      <c r="H30" s="28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f t="shared" si="10"/>
        <v>0</v>
      </c>
    </row>
    <row r="31" spans="1:21" ht="15" customHeight="1" x14ac:dyDescent="0.25">
      <c r="A31" s="27"/>
      <c r="B31" s="24"/>
      <c r="C31" s="430"/>
      <c r="D31" s="431"/>
      <c r="E31" s="421"/>
      <c r="F31" s="431"/>
      <c r="G31" s="421"/>
      <c r="H31" s="28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f t="shared" si="10"/>
        <v>0</v>
      </c>
    </row>
    <row r="32" spans="1:21" ht="15" customHeight="1" x14ac:dyDescent="0.25">
      <c r="A32" s="27"/>
      <c r="B32" s="24"/>
      <c r="C32" s="430"/>
      <c r="D32" s="431"/>
      <c r="E32" s="421"/>
      <c r="F32" s="431"/>
      <c r="G32" s="421"/>
      <c r="H32" s="2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 t="shared" si="10"/>
        <v>0</v>
      </c>
    </row>
    <row r="33" spans="1:21" ht="15" customHeight="1" x14ac:dyDescent="0.25">
      <c r="A33" s="27"/>
      <c r="B33" s="24"/>
      <c r="C33" s="430"/>
      <c r="D33" s="431"/>
      <c r="E33" s="421"/>
      <c r="F33" s="431"/>
      <c r="G33" s="421"/>
      <c r="H33" s="28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f t="shared" si="10"/>
        <v>0</v>
      </c>
    </row>
    <row r="34" spans="1:21" ht="15" customHeight="1" x14ac:dyDescent="0.25">
      <c r="A34" s="27"/>
      <c r="B34" s="24"/>
      <c r="C34" s="430"/>
      <c r="D34" s="431"/>
      <c r="E34" s="421"/>
      <c r="F34" s="431"/>
      <c r="G34" s="421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 t="shared" si="10"/>
        <v>0</v>
      </c>
    </row>
    <row r="35" spans="1:21" ht="15" customHeight="1" x14ac:dyDescent="0.25">
      <c r="A35" s="443" t="s">
        <v>1226</v>
      </c>
      <c r="B35" s="444"/>
      <c r="C35" s="445"/>
      <c r="D35" s="446"/>
      <c r="E35" s="447"/>
      <c r="F35" s="446"/>
      <c r="G35" s="447">
        <f>SUM(G29:G34)</f>
        <v>1</v>
      </c>
      <c r="H35" s="448">
        <f>SUM(H29:H34)</f>
        <v>1595</v>
      </c>
      <c r="I35" s="447">
        <f t="shared" ref="I35:U35" si="11">SUM(I29:I34)</f>
        <v>0</v>
      </c>
      <c r="J35" s="447">
        <f t="shared" si="11"/>
        <v>0</v>
      </c>
      <c r="K35" s="447">
        <f t="shared" si="11"/>
        <v>0</v>
      </c>
      <c r="L35" s="447">
        <f t="shared" si="11"/>
        <v>0</v>
      </c>
      <c r="M35" s="447">
        <f t="shared" si="11"/>
        <v>0</v>
      </c>
      <c r="N35" s="447">
        <f t="shared" si="11"/>
        <v>0</v>
      </c>
      <c r="O35" s="447">
        <f t="shared" si="11"/>
        <v>0</v>
      </c>
      <c r="P35" s="447">
        <f t="shared" si="11"/>
        <v>1</v>
      </c>
      <c r="Q35" s="447">
        <f t="shared" si="11"/>
        <v>0</v>
      </c>
      <c r="R35" s="447">
        <f t="shared" si="11"/>
        <v>0</v>
      </c>
      <c r="S35" s="447">
        <f t="shared" si="11"/>
        <v>0</v>
      </c>
      <c r="T35" s="447">
        <f t="shared" si="11"/>
        <v>0</v>
      </c>
      <c r="U35" s="447">
        <f t="shared" si="11"/>
        <v>1</v>
      </c>
    </row>
    <row r="36" spans="1:21" ht="15" customHeight="1" x14ac:dyDescent="0.25">
      <c r="A36" s="428"/>
      <c r="B36" s="422"/>
      <c r="C36" s="422"/>
      <c r="D36" s="429"/>
      <c r="E36" s="422"/>
      <c r="F36" s="429"/>
      <c r="G36" s="433"/>
      <c r="H36" s="422"/>
    </row>
    <row r="37" spans="1:21" x14ac:dyDescent="0.25">
      <c r="A37" s="739" t="s">
        <v>1228</v>
      </c>
      <c r="B37" s="739"/>
      <c r="G37" s="420"/>
    </row>
    <row r="38" spans="1:21" ht="30" x14ac:dyDescent="0.25">
      <c r="A38" s="449" t="s">
        <v>1</v>
      </c>
      <c r="B38" s="449" t="s">
        <v>59</v>
      </c>
      <c r="C38" s="425" t="s">
        <v>1222</v>
      </c>
      <c r="D38" s="425" t="s">
        <v>1223</v>
      </c>
      <c r="E38" s="425" t="s">
        <v>392</v>
      </c>
      <c r="F38" s="426" t="s">
        <v>2</v>
      </c>
      <c r="G38" s="432" t="s">
        <v>1225</v>
      </c>
      <c r="H38" s="427" t="s">
        <v>1224</v>
      </c>
      <c r="I38" s="424" t="s">
        <v>681</v>
      </c>
      <c r="J38" s="424" t="s">
        <v>77</v>
      </c>
      <c r="K38" s="424" t="s">
        <v>682</v>
      </c>
      <c r="L38" s="424" t="s">
        <v>683</v>
      </c>
      <c r="M38" s="424" t="s">
        <v>87</v>
      </c>
      <c r="N38" s="424" t="s">
        <v>684</v>
      </c>
      <c r="O38" s="424" t="s">
        <v>685</v>
      </c>
      <c r="P38" s="424" t="s">
        <v>690</v>
      </c>
      <c r="Q38" s="424" t="s">
        <v>686</v>
      </c>
      <c r="R38" s="424" t="s">
        <v>687</v>
      </c>
      <c r="S38" s="424" t="s">
        <v>688</v>
      </c>
      <c r="T38" s="424" t="s">
        <v>689</v>
      </c>
      <c r="U38" s="424" t="s">
        <v>1238</v>
      </c>
    </row>
    <row r="39" spans="1:21" ht="15" customHeight="1" x14ac:dyDescent="0.25">
      <c r="A39" s="27" t="s">
        <v>1383</v>
      </c>
      <c r="B39" s="24" t="s">
        <v>115</v>
      </c>
      <c r="C39" s="430">
        <v>42199</v>
      </c>
      <c r="D39" s="431">
        <v>42240</v>
      </c>
      <c r="E39" s="421">
        <v>40</v>
      </c>
      <c r="F39" s="431">
        <v>42248</v>
      </c>
      <c r="G39" s="421">
        <v>1</v>
      </c>
      <c r="H39" s="476">
        <v>2485</v>
      </c>
      <c r="I39" s="24"/>
      <c r="J39" s="24"/>
      <c r="K39" s="24">
        <v>1</v>
      </c>
      <c r="L39" s="24"/>
      <c r="M39" s="24"/>
      <c r="N39" s="24"/>
      <c r="O39" s="24"/>
      <c r="P39" s="24"/>
      <c r="Q39" s="24"/>
      <c r="R39" s="24"/>
      <c r="S39" s="24"/>
      <c r="T39" s="24"/>
      <c r="U39" s="24">
        <f t="shared" ref="U39:U47" si="12">SUM(I39:T39)</f>
        <v>1</v>
      </c>
    </row>
    <row r="40" spans="1:21" ht="15" customHeight="1" x14ac:dyDescent="0.25">
      <c r="A40" s="27" t="s">
        <v>1390</v>
      </c>
      <c r="B40" s="24" t="s">
        <v>115</v>
      </c>
      <c r="C40" s="430"/>
      <c r="D40" s="431">
        <v>42251</v>
      </c>
      <c r="E40" s="421"/>
      <c r="F40" s="431">
        <v>42248</v>
      </c>
      <c r="G40" s="421">
        <v>1</v>
      </c>
      <c r="H40" s="28">
        <v>2174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>
        <v>1</v>
      </c>
      <c r="T40" s="24"/>
      <c r="U40" s="24">
        <f t="shared" si="12"/>
        <v>1</v>
      </c>
    </row>
    <row r="41" spans="1:21" ht="15" customHeight="1" x14ac:dyDescent="0.25">
      <c r="A41" s="27"/>
      <c r="B41" s="24"/>
      <c r="C41" s="430"/>
      <c r="D41" s="431"/>
      <c r="E41" s="421"/>
      <c r="F41" s="431"/>
      <c r="G41" s="421"/>
      <c r="H41" s="2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>
        <f t="shared" si="12"/>
        <v>0</v>
      </c>
    </row>
    <row r="42" spans="1:21" ht="15" customHeight="1" x14ac:dyDescent="0.25">
      <c r="A42" s="27"/>
      <c r="B42" s="24"/>
      <c r="C42" s="430"/>
      <c r="D42" s="431"/>
      <c r="E42" s="421"/>
      <c r="F42" s="431"/>
      <c r="G42" s="421"/>
      <c r="H42" s="2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f t="shared" si="12"/>
        <v>0</v>
      </c>
    </row>
    <row r="43" spans="1:21" ht="15" customHeight="1" x14ac:dyDescent="0.25">
      <c r="A43" s="27"/>
      <c r="B43" s="24"/>
      <c r="C43" s="430"/>
      <c r="D43" s="431"/>
      <c r="E43" s="421"/>
      <c r="F43" s="431"/>
      <c r="G43" s="421"/>
      <c r="H43" s="28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 t="shared" si="12"/>
        <v>0</v>
      </c>
    </row>
    <row r="44" spans="1:21" ht="15" customHeight="1" x14ac:dyDescent="0.25">
      <c r="A44" s="27"/>
      <c r="B44" s="24"/>
      <c r="C44" s="430"/>
      <c r="D44" s="431"/>
      <c r="E44" s="421"/>
      <c r="F44" s="431"/>
      <c r="G44" s="421"/>
      <c r="H44" s="2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f t="shared" si="12"/>
        <v>0</v>
      </c>
    </row>
    <row r="45" spans="1:21" ht="15" customHeight="1" x14ac:dyDescent="0.25">
      <c r="A45" s="27"/>
      <c r="B45" s="24"/>
      <c r="C45" s="430"/>
      <c r="D45" s="431"/>
      <c r="E45" s="421"/>
      <c r="F45" s="431"/>
      <c r="G45" s="421"/>
      <c r="H45" s="2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>
        <f t="shared" si="12"/>
        <v>0</v>
      </c>
    </row>
    <row r="46" spans="1:21" ht="15" customHeight="1" x14ac:dyDescent="0.25">
      <c r="A46" s="27"/>
      <c r="B46" s="24"/>
      <c r="C46" s="430"/>
      <c r="D46" s="431"/>
      <c r="E46" s="421"/>
      <c r="F46" s="431"/>
      <c r="G46" s="421"/>
      <c r="H46" s="28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>
        <f t="shared" si="12"/>
        <v>0</v>
      </c>
    </row>
    <row r="47" spans="1:21" ht="15" customHeight="1" x14ac:dyDescent="0.25">
      <c r="A47" s="27"/>
      <c r="B47" s="24"/>
      <c r="C47" s="430"/>
      <c r="D47" s="431"/>
      <c r="E47" s="421"/>
      <c r="F47" s="431"/>
      <c r="G47" s="421"/>
      <c r="H47" s="28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f t="shared" si="12"/>
        <v>0</v>
      </c>
    </row>
    <row r="48" spans="1:21" ht="15" customHeight="1" x14ac:dyDescent="0.25">
      <c r="A48" s="443" t="s">
        <v>450</v>
      </c>
      <c r="B48" s="444"/>
      <c r="C48" s="445"/>
      <c r="D48" s="446"/>
      <c r="E48" s="447"/>
      <c r="F48" s="446"/>
      <c r="G48" s="447">
        <f>SUM(G39:G47)</f>
        <v>2</v>
      </c>
      <c r="H48" s="448">
        <f>SUM(H39:H47)</f>
        <v>4659</v>
      </c>
      <c r="I48" s="447">
        <f t="shared" ref="I48:U48" si="13">SUM(I39:I47)</f>
        <v>0</v>
      </c>
      <c r="J48" s="447">
        <f t="shared" si="13"/>
        <v>0</v>
      </c>
      <c r="K48" s="447">
        <f t="shared" si="13"/>
        <v>1</v>
      </c>
      <c r="L48" s="447">
        <f t="shared" si="13"/>
        <v>0</v>
      </c>
      <c r="M48" s="447">
        <f t="shared" si="13"/>
        <v>0</v>
      </c>
      <c r="N48" s="447">
        <f t="shared" si="13"/>
        <v>0</v>
      </c>
      <c r="O48" s="447">
        <f t="shared" si="13"/>
        <v>0</v>
      </c>
      <c r="P48" s="447">
        <f t="shared" si="13"/>
        <v>0</v>
      </c>
      <c r="Q48" s="447">
        <f t="shared" si="13"/>
        <v>0</v>
      </c>
      <c r="R48" s="447">
        <f t="shared" si="13"/>
        <v>0</v>
      </c>
      <c r="S48" s="447">
        <f t="shared" si="13"/>
        <v>1</v>
      </c>
      <c r="T48" s="447">
        <f t="shared" si="13"/>
        <v>0</v>
      </c>
      <c r="U48" s="447">
        <f t="shared" si="13"/>
        <v>2</v>
      </c>
    </row>
    <row r="50" spans="1:21" x14ac:dyDescent="0.25">
      <c r="A50" s="739" t="s">
        <v>1229</v>
      </c>
      <c r="B50" s="739"/>
    </row>
    <row r="51" spans="1:21" ht="30" x14ac:dyDescent="0.25">
      <c r="A51" s="449" t="s">
        <v>1</v>
      </c>
      <c r="B51" s="449" t="s">
        <v>59</v>
      </c>
      <c r="C51" s="425"/>
      <c r="D51" s="425"/>
      <c r="E51" s="425"/>
      <c r="F51" s="426"/>
      <c r="G51" s="432" t="s">
        <v>1225</v>
      </c>
      <c r="H51" s="427" t="s">
        <v>1224</v>
      </c>
      <c r="I51" s="424" t="s">
        <v>681</v>
      </c>
      <c r="J51" s="424" t="s">
        <v>77</v>
      </c>
      <c r="K51" s="424" t="s">
        <v>682</v>
      </c>
      <c r="L51" s="424" t="s">
        <v>683</v>
      </c>
      <c r="M51" s="424" t="s">
        <v>87</v>
      </c>
      <c r="N51" s="424" t="s">
        <v>684</v>
      </c>
      <c r="O51" s="424" t="s">
        <v>685</v>
      </c>
      <c r="P51" s="424" t="s">
        <v>690</v>
      </c>
      <c r="Q51" s="424" t="s">
        <v>686</v>
      </c>
      <c r="R51" s="424" t="s">
        <v>687</v>
      </c>
      <c r="S51" s="424" t="s">
        <v>688</v>
      </c>
      <c r="T51" s="424" t="s">
        <v>689</v>
      </c>
      <c r="U51" s="424" t="s">
        <v>1238</v>
      </c>
    </row>
    <row r="52" spans="1:21" ht="15" customHeight="1" x14ac:dyDescent="0.25">
      <c r="A52" s="27"/>
      <c r="B52" s="24"/>
      <c r="C52" s="430"/>
      <c r="D52" s="431"/>
      <c r="E52" s="421"/>
      <c r="F52" s="431"/>
      <c r="G52" s="421"/>
      <c r="H52" s="28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>
        <f t="shared" ref="U52:U54" si="14">SUM(I52:T52)</f>
        <v>0</v>
      </c>
    </row>
    <row r="53" spans="1:21" ht="15" customHeight="1" x14ac:dyDescent="0.25">
      <c r="A53" s="27"/>
      <c r="B53" s="24"/>
      <c r="C53" s="430"/>
      <c r="D53" s="431"/>
      <c r="E53" s="421"/>
      <c r="F53" s="431"/>
      <c r="G53" s="421"/>
      <c r="H53" s="28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>
        <f t="shared" si="14"/>
        <v>0</v>
      </c>
    </row>
    <row r="54" spans="1:21" ht="15" customHeight="1" x14ac:dyDescent="0.25">
      <c r="A54" s="27"/>
      <c r="B54" s="24"/>
      <c r="C54" s="430"/>
      <c r="D54" s="431"/>
      <c r="E54" s="421"/>
      <c r="F54" s="431"/>
      <c r="G54" s="421"/>
      <c r="H54" s="28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>
        <f t="shared" si="14"/>
        <v>0</v>
      </c>
    </row>
    <row r="55" spans="1:21" ht="15" customHeight="1" x14ac:dyDescent="0.25">
      <c r="A55" s="443" t="s">
        <v>1230</v>
      </c>
      <c r="B55" s="444"/>
      <c r="C55" s="445"/>
      <c r="D55" s="446"/>
      <c r="E55" s="447"/>
      <c r="F55" s="446"/>
      <c r="G55" s="447">
        <f>SUM(G52:G54)</f>
        <v>0</v>
      </c>
      <c r="H55" s="448">
        <f>SUM(H52:H54)</f>
        <v>0</v>
      </c>
      <c r="I55" s="447">
        <f t="shared" ref="I55:U55" si="15">SUM(I52:I54)</f>
        <v>0</v>
      </c>
      <c r="J55" s="447">
        <f t="shared" si="15"/>
        <v>0</v>
      </c>
      <c r="K55" s="447">
        <f t="shared" si="15"/>
        <v>0</v>
      </c>
      <c r="L55" s="447">
        <f t="shared" si="15"/>
        <v>0</v>
      </c>
      <c r="M55" s="447">
        <f t="shared" si="15"/>
        <v>0</v>
      </c>
      <c r="N55" s="447">
        <f t="shared" si="15"/>
        <v>0</v>
      </c>
      <c r="O55" s="447">
        <f t="shared" si="15"/>
        <v>0</v>
      </c>
      <c r="P55" s="447">
        <f t="shared" si="15"/>
        <v>0</v>
      </c>
      <c r="Q55" s="447">
        <f t="shared" si="15"/>
        <v>0</v>
      </c>
      <c r="R55" s="447">
        <f t="shared" si="15"/>
        <v>0</v>
      </c>
      <c r="S55" s="447">
        <f t="shared" si="15"/>
        <v>0</v>
      </c>
      <c r="T55" s="447">
        <f t="shared" si="15"/>
        <v>0</v>
      </c>
      <c r="U55" s="447">
        <f t="shared" si="15"/>
        <v>0</v>
      </c>
    </row>
    <row r="57" spans="1:21" x14ac:dyDescent="0.25">
      <c r="A57" s="739" t="s">
        <v>1231</v>
      </c>
      <c r="B57" s="739"/>
    </row>
    <row r="58" spans="1:21" ht="30" x14ac:dyDescent="0.25">
      <c r="A58" s="449" t="s">
        <v>1</v>
      </c>
      <c r="B58" s="449" t="s">
        <v>59</v>
      </c>
      <c r="C58" s="425" t="s">
        <v>1222</v>
      </c>
      <c r="D58" s="425" t="s">
        <v>1223</v>
      </c>
      <c r="E58" s="425" t="s">
        <v>392</v>
      </c>
      <c r="F58" s="426" t="s">
        <v>2</v>
      </c>
      <c r="G58" s="432" t="s">
        <v>1225</v>
      </c>
      <c r="H58" s="427" t="s">
        <v>1224</v>
      </c>
      <c r="I58" s="424" t="s">
        <v>681</v>
      </c>
      <c r="J58" s="424" t="s">
        <v>77</v>
      </c>
      <c r="K58" s="424" t="s">
        <v>682</v>
      </c>
      <c r="L58" s="424" t="s">
        <v>683</v>
      </c>
      <c r="M58" s="424" t="s">
        <v>87</v>
      </c>
      <c r="N58" s="424" t="s">
        <v>684</v>
      </c>
      <c r="O58" s="424" t="s">
        <v>685</v>
      </c>
      <c r="P58" s="424" t="s">
        <v>690</v>
      </c>
      <c r="Q58" s="424" t="s">
        <v>686</v>
      </c>
      <c r="R58" s="424" t="s">
        <v>687</v>
      </c>
      <c r="S58" s="424" t="s">
        <v>688</v>
      </c>
      <c r="T58" s="424" t="s">
        <v>689</v>
      </c>
      <c r="U58" s="424" t="s">
        <v>1238</v>
      </c>
    </row>
    <row r="59" spans="1:21" ht="15" customHeight="1" x14ac:dyDescent="0.25">
      <c r="A59" s="27" t="s">
        <v>22</v>
      </c>
      <c r="B59" s="24" t="s">
        <v>1293</v>
      </c>
      <c r="C59" s="430"/>
      <c r="D59" s="431"/>
      <c r="E59" s="421"/>
      <c r="F59" s="431"/>
      <c r="G59" s="421"/>
      <c r="H59" s="28">
        <v>-2485</v>
      </c>
      <c r="I59" s="24">
        <v>-1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>
        <f t="shared" ref="U59:U61" si="16">SUM(I59:T59)</f>
        <v>-1</v>
      </c>
    </row>
    <row r="60" spans="1:21" ht="15" customHeight="1" x14ac:dyDescent="0.25">
      <c r="A60" s="27"/>
      <c r="B60" s="24"/>
      <c r="C60" s="430"/>
      <c r="D60" s="431"/>
      <c r="E60" s="421"/>
      <c r="F60" s="431"/>
      <c r="G60" s="421"/>
      <c r="H60" s="28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>
        <f t="shared" si="16"/>
        <v>0</v>
      </c>
    </row>
    <row r="61" spans="1:21" ht="15" customHeight="1" x14ac:dyDescent="0.25">
      <c r="A61" s="27"/>
      <c r="B61" s="24"/>
      <c r="C61" s="430"/>
      <c r="D61" s="431"/>
      <c r="E61" s="421"/>
      <c r="F61" s="431"/>
      <c r="G61" s="421"/>
      <c r="H61" s="28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>
        <f t="shared" si="16"/>
        <v>0</v>
      </c>
    </row>
    <row r="62" spans="1:21" ht="15" customHeight="1" x14ac:dyDescent="0.25">
      <c r="A62" s="443" t="s">
        <v>1230</v>
      </c>
      <c r="B62" s="444"/>
      <c r="C62" s="445"/>
      <c r="D62" s="446"/>
      <c r="E62" s="447"/>
      <c r="F62" s="446"/>
      <c r="G62" s="447">
        <f>SUM(G59:G61)</f>
        <v>0</v>
      </c>
      <c r="H62" s="448">
        <f>SUM(H59:H61)</f>
        <v>-2485</v>
      </c>
      <c r="I62" s="447">
        <f t="shared" ref="I62:U62" si="17">SUM(I59:I61)</f>
        <v>-1</v>
      </c>
      <c r="J62" s="447">
        <f t="shared" si="17"/>
        <v>0</v>
      </c>
      <c r="K62" s="447">
        <f t="shared" si="17"/>
        <v>0</v>
      </c>
      <c r="L62" s="447">
        <f t="shared" si="17"/>
        <v>0</v>
      </c>
      <c r="M62" s="447">
        <f t="shared" si="17"/>
        <v>0</v>
      </c>
      <c r="N62" s="447">
        <f t="shared" si="17"/>
        <v>0</v>
      </c>
      <c r="O62" s="447">
        <f t="shared" si="17"/>
        <v>0</v>
      </c>
      <c r="P62" s="447">
        <f t="shared" si="17"/>
        <v>0</v>
      </c>
      <c r="Q62" s="447">
        <f t="shared" si="17"/>
        <v>0</v>
      </c>
      <c r="R62" s="447">
        <f t="shared" si="17"/>
        <v>0</v>
      </c>
      <c r="S62" s="447">
        <f t="shared" si="17"/>
        <v>0</v>
      </c>
      <c r="T62" s="447">
        <f t="shared" si="17"/>
        <v>0</v>
      </c>
      <c r="U62" s="447">
        <f t="shared" si="17"/>
        <v>-1</v>
      </c>
    </row>
    <row r="63" spans="1:21" ht="15.75" thickBot="1" x14ac:dyDescent="0.3"/>
    <row r="64" spans="1:21" ht="15.75" thickBot="1" x14ac:dyDescent="0.3">
      <c r="A64" s="436" t="s">
        <v>1232</v>
      </c>
      <c r="B64" s="434"/>
      <c r="C64" s="434"/>
      <c r="D64" s="434"/>
      <c r="E64" s="434"/>
      <c r="F64" s="434"/>
      <c r="G64" s="437">
        <f>G25+G35+G48+G55+G62</f>
        <v>3</v>
      </c>
      <c r="H64" s="438">
        <f>H25+H35+H48+H55+H62</f>
        <v>521.5</v>
      </c>
      <c r="I64" s="450">
        <f>I25+I35+I48+I55+I62</f>
        <v>-1</v>
      </c>
      <c r="J64" s="450">
        <f t="shared" ref="J64:U64" si="18">J25+J35+J48+J55+J62</f>
        <v>0</v>
      </c>
      <c r="K64" s="450">
        <f t="shared" si="18"/>
        <v>1</v>
      </c>
      <c r="L64" s="450">
        <f t="shared" si="18"/>
        <v>0</v>
      </c>
      <c r="M64" s="450">
        <f t="shared" si="18"/>
        <v>0</v>
      </c>
      <c r="N64" s="450">
        <f t="shared" si="18"/>
        <v>0</v>
      </c>
      <c r="O64" s="450">
        <f t="shared" si="18"/>
        <v>0</v>
      </c>
      <c r="P64" s="450">
        <f t="shared" si="18"/>
        <v>1</v>
      </c>
      <c r="Q64" s="450">
        <f t="shared" si="18"/>
        <v>0</v>
      </c>
      <c r="R64" s="450">
        <f t="shared" si="18"/>
        <v>0</v>
      </c>
      <c r="S64" s="450">
        <f t="shared" si="18"/>
        <v>1</v>
      </c>
      <c r="T64" s="450">
        <f t="shared" si="18"/>
        <v>0</v>
      </c>
      <c r="U64" s="450">
        <f t="shared" si="18"/>
        <v>2</v>
      </c>
    </row>
    <row r="65" spans="1:8" ht="15.75" thickBot="1" x14ac:dyDescent="0.3">
      <c r="A65" s="436" t="s">
        <v>64</v>
      </c>
      <c r="B65" s="434"/>
      <c r="C65" s="434"/>
      <c r="D65" s="434"/>
      <c r="E65" s="434"/>
      <c r="F65" s="434"/>
      <c r="G65" s="437"/>
      <c r="H65" s="438"/>
    </row>
    <row r="66" spans="1:8" ht="15.75" thickBot="1" x14ac:dyDescent="0.3">
      <c r="A66" s="439" t="s">
        <v>452</v>
      </c>
      <c r="B66" s="440"/>
      <c r="C66" s="440"/>
      <c r="D66" s="440"/>
      <c r="E66" s="440"/>
      <c r="F66" s="440"/>
      <c r="G66" s="441"/>
      <c r="H66" s="442">
        <f>H64-H65</f>
        <v>521.5</v>
      </c>
    </row>
    <row r="69" spans="1:8" x14ac:dyDescent="0.25">
      <c r="H69" s="435"/>
    </row>
  </sheetData>
  <mergeCells count="8">
    <mergeCell ref="G3:H3"/>
    <mergeCell ref="A27:B27"/>
    <mergeCell ref="A37:B37"/>
    <mergeCell ref="A50:B50"/>
    <mergeCell ref="A57:B57"/>
    <mergeCell ref="A3:B3"/>
    <mergeCell ref="C3:D3"/>
    <mergeCell ref="E3:F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-0.249977111117893"/>
  </sheetPr>
  <dimension ref="A1:U95"/>
  <sheetViews>
    <sheetView topLeftCell="A81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3" width="11.85546875" style="419" customWidth="1"/>
    <col min="4" max="4" width="12.5703125" style="419" bestFit="1" customWidth="1"/>
    <col min="5" max="5" width="11.85546875" style="419" customWidth="1"/>
    <col min="6" max="6" width="12.5703125" style="419" bestFit="1" customWidth="1"/>
    <col min="7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1360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9" t="s">
        <v>27</v>
      </c>
      <c r="B5" s="6" t="s">
        <v>60</v>
      </c>
      <c r="C5" s="9">
        <v>6</v>
      </c>
      <c r="D5" s="414">
        <v>10989</v>
      </c>
      <c r="E5" s="24">
        <v>6</v>
      </c>
      <c r="F5" s="414">
        <f>8073+2200</f>
        <v>10273</v>
      </c>
      <c r="G5" s="24">
        <f t="shared" ref="G5:G24" si="0">E5-C5</f>
        <v>0</v>
      </c>
      <c r="H5" s="414">
        <f t="shared" ref="H5:H24" si="1">F5-D5</f>
        <v>-716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>
        <f t="shared" ref="U5:U10" si="2">SUM(I5:T5)</f>
        <v>0</v>
      </c>
    </row>
    <row r="6" spans="1:21" ht="14.45" customHeight="1" x14ac:dyDescent="0.25">
      <c r="A6" s="9" t="s">
        <v>28</v>
      </c>
      <c r="B6" s="6" t="s">
        <v>60</v>
      </c>
      <c r="C6" s="9">
        <v>6</v>
      </c>
      <c r="D6" s="414">
        <v>7466</v>
      </c>
      <c r="E6" s="24">
        <v>6</v>
      </c>
      <c r="F6" s="414">
        <v>6899</v>
      </c>
      <c r="G6" s="24">
        <f t="shared" si="0"/>
        <v>0</v>
      </c>
      <c r="H6" s="414">
        <f t="shared" si="1"/>
        <v>-567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2"/>
        <v>0</v>
      </c>
    </row>
    <row r="7" spans="1:21" ht="14.45" customHeight="1" x14ac:dyDescent="0.25">
      <c r="A7" s="9" t="s">
        <v>29</v>
      </c>
      <c r="B7" s="6" t="s">
        <v>60</v>
      </c>
      <c r="C7" s="9">
        <v>6</v>
      </c>
      <c r="D7" s="414">
        <v>6143</v>
      </c>
      <c r="E7" s="24">
        <v>6</v>
      </c>
      <c r="F7" s="414">
        <v>6318</v>
      </c>
      <c r="G7" s="24">
        <f t="shared" si="0"/>
        <v>0</v>
      </c>
      <c r="H7" s="414">
        <f t="shared" si="1"/>
        <v>175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f t="shared" si="2"/>
        <v>0</v>
      </c>
    </row>
    <row r="8" spans="1:21" ht="14.45" customHeight="1" x14ac:dyDescent="0.25">
      <c r="A8" s="9" t="s">
        <v>30</v>
      </c>
      <c r="B8" s="6" t="s">
        <v>60</v>
      </c>
      <c r="C8" s="9">
        <v>3</v>
      </c>
      <c r="D8" s="414">
        <v>1134</v>
      </c>
      <c r="E8" s="24">
        <v>3</v>
      </c>
      <c r="F8" s="414">
        <v>1161</v>
      </c>
      <c r="G8" s="24">
        <f t="shared" si="0"/>
        <v>0</v>
      </c>
      <c r="H8" s="414">
        <f t="shared" si="1"/>
        <v>27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 t="shared" si="2"/>
        <v>0</v>
      </c>
    </row>
    <row r="9" spans="1:21" ht="14.45" customHeight="1" x14ac:dyDescent="0.25">
      <c r="A9" s="6" t="s">
        <v>148</v>
      </c>
      <c r="B9" s="6" t="s">
        <v>1293</v>
      </c>
      <c r="C9" s="9">
        <v>1</v>
      </c>
      <c r="D9" s="414">
        <v>2415</v>
      </c>
      <c r="E9" s="24">
        <v>1</v>
      </c>
      <c r="F9" s="414">
        <v>2485</v>
      </c>
      <c r="G9" s="24">
        <f t="shared" si="0"/>
        <v>0</v>
      </c>
      <c r="H9" s="414">
        <f t="shared" si="1"/>
        <v>70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f t="shared" si="2"/>
        <v>0</v>
      </c>
    </row>
    <row r="10" spans="1:21" ht="14.45" customHeight="1" x14ac:dyDescent="0.25">
      <c r="A10" s="6" t="s">
        <v>1159</v>
      </c>
      <c r="B10" s="6" t="s">
        <v>1293</v>
      </c>
      <c r="C10" s="9">
        <v>1</v>
      </c>
      <c r="D10" s="414">
        <v>2415</v>
      </c>
      <c r="E10" s="24">
        <v>1</v>
      </c>
      <c r="F10" s="414">
        <v>2485</v>
      </c>
      <c r="G10" s="24">
        <f t="shared" si="0"/>
        <v>0</v>
      </c>
      <c r="H10" s="414">
        <f t="shared" si="1"/>
        <v>70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2"/>
        <v>0</v>
      </c>
    </row>
    <row r="11" spans="1:21" ht="14.45" customHeight="1" x14ac:dyDescent="0.25">
      <c r="A11" s="9" t="s">
        <v>39</v>
      </c>
      <c r="B11" s="6" t="s">
        <v>115</v>
      </c>
      <c r="C11" s="9">
        <v>7</v>
      </c>
      <c r="D11" s="414">
        <v>10206</v>
      </c>
      <c r="E11" s="24">
        <v>7</v>
      </c>
      <c r="F11" s="414">
        <v>12254</v>
      </c>
      <c r="G11" s="24">
        <f t="shared" si="0"/>
        <v>0</v>
      </c>
      <c r="H11" s="414">
        <f t="shared" si="1"/>
        <v>2048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ref="U11:U14" si="3">SUM(I11:T11)</f>
        <v>0</v>
      </c>
    </row>
    <row r="12" spans="1:21" ht="14.45" customHeight="1" x14ac:dyDescent="0.25">
      <c r="A12" s="9" t="s">
        <v>38</v>
      </c>
      <c r="B12" s="6" t="s">
        <v>115</v>
      </c>
      <c r="C12" s="9">
        <v>8</v>
      </c>
      <c r="D12" s="413">
        <v>8600</v>
      </c>
      <c r="E12" s="24">
        <v>8</v>
      </c>
      <c r="F12" s="414">
        <v>8942</v>
      </c>
      <c r="G12" s="24">
        <f t="shared" si="0"/>
        <v>0</v>
      </c>
      <c r="H12" s="414">
        <f t="shared" si="1"/>
        <v>342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3"/>
        <v>0</v>
      </c>
    </row>
    <row r="13" spans="1:21" ht="14.45" customHeight="1" x14ac:dyDescent="0.25">
      <c r="A13" s="24" t="s">
        <v>258</v>
      </c>
      <c r="B13" s="9" t="s">
        <v>115</v>
      </c>
      <c r="C13" s="9">
        <v>6</v>
      </c>
      <c r="D13" s="414">
        <v>7875</v>
      </c>
      <c r="E13" s="24">
        <v>6</v>
      </c>
      <c r="F13" s="414">
        <v>7995</v>
      </c>
      <c r="G13" s="24">
        <f t="shared" si="0"/>
        <v>0</v>
      </c>
      <c r="H13" s="414">
        <f t="shared" si="1"/>
        <v>120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 t="shared" si="3"/>
        <v>0</v>
      </c>
    </row>
    <row r="14" spans="1:21" ht="15" customHeight="1" x14ac:dyDescent="0.25">
      <c r="A14" s="9" t="s">
        <v>1395</v>
      </c>
      <c r="B14" s="9" t="s">
        <v>1293</v>
      </c>
      <c r="C14" s="9">
        <v>4</v>
      </c>
      <c r="D14" s="414">
        <v>6200</v>
      </c>
      <c r="E14" s="24">
        <v>4</v>
      </c>
      <c r="F14" s="414">
        <v>6380</v>
      </c>
      <c r="G14" s="24">
        <f t="shared" si="0"/>
        <v>0</v>
      </c>
      <c r="H14" s="414">
        <f t="shared" si="1"/>
        <v>180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 t="shared" si="3"/>
        <v>0</v>
      </c>
    </row>
    <row r="15" spans="1:21" ht="14.45" customHeight="1" x14ac:dyDescent="0.25">
      <c r="A15" s="9" t="s">
        <v>37</v>
      </c>
      <c r="B15" s="9" t="s">
        <v>115</v>
      </c>
      <c r="C15" s="9">
        <v>4</v>
      </c>
      <c r="D15" s="414">
        <v>3990</v>
      </c>
      <c r="E15" s="24">
        <v>4</v>
      </c>
      <c r="F15" s="414">
        <v>3565</v>
      </c>
      <c r="G15" s="24">
        <f t="shared" si="0"/>
        <v>0</v>
      </c>
      <c r="H15" s="414">
        <f t="shared" si="1"/>
        <v>-425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ref="U15:U20" si="4">SUM(I15:T15)</f>
        <v>0</v>
      </c>
    </row>
    <row r="16" spans="1:21" ht="14.45" customHeight="1" x14ac:dyDescent="0.25">
      <c r="A16" s="9" t="s">
        <v>278</v>
      </c>
      <c r="B16" s="9" t="s">
        <v>115</v>
      </c>
      <c r="C16" s="9">
        <v>7</v>
      </c>
      <c r="D16" s="414">
        <v>12852</v>
      </c>
      <c r="E16" s="24">
        <v>7</v>
      </c>
      <c r="F16" s="414">
        <v>11768</v>
      </c>
      <c r="G16" s="24">
        <f t="shared" si="0"/>
        <v>0</v>
      </c>
      <c r="H16" s="414">
        <f t="shared" si="1"/>
        <v>-1084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f t="shared" si="4"/>
        <v>0</v>
      </c>
    </row>
    <row r="17" spans="1:21" ht="14.45" customHeight="1" x14ac:dyDescent="0.25">
      <c r="A17" s="9" t="s">
        <v>1399</v>
      </c>
      <c r="B17" s="9" t="s">
        <v>60</v>
      </c>
      <c r="C17" s="9">
        <v>3</v>
      </c>
      <c r="D17" s="414">
        <v>4650</v>
      </c>
      <c r="E17" s="24">
        <v>3</v>
      </c>
      <c r="F17" s="414">
        <v>4785</v>
      </c>
      <c r="G17" s="24">
        <f t="shared" si="0"/>
        <v>0</v>
      </c>
      <c r="H17" s="414">
        <f t="shared" si="1"/>
        <v>135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 t="shared" si="4"/>
        <v>0</v>
      </c>
    </row>
    <row r="18" spans="1:21" ht="14.45" customHeight="1" x14ac:dyDescent="0.25">
      <c r="A18" s="9" t="s">
        <v>36</v>
      </c>
      <c r="B18" s="9" t="s">
        <v>115</v>
      </c>
      <c r="C18" s="9">
        <v>7</v>
      </c>
      <c r="D18" s="414">
        <v>10112</v>
      </c>
      <c r="E18" s="24">
        <v>7</v>
      </c>
      <c r="F18" s="414">
        <v>9041</v>
      </c>
      <c r="G18" s="24">
        <f t="shared" si="0"/>
        <v>0</v>
      </c>
      <c r="H18" s="414">
        <f t="shared" si="1"/>
        <v>-1071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f t="shared" si="4"/>
        <v>0</v>
      </c>
    </row>
    <row r="19" spans="1:21" ht="14.45" customHeight="1" x14ac:dyDescent="0.25">
      <c r="A19" s="9" t="s">
        <v>35</v>
      </c>
      <c r="B19" s="9" t="s">
        <v>115</v>
      </c>
      <c r="C19" s="9">
        <v>8</v>
      </c>
      <c r="D19" s="414">
        <v>8883</v>
      </c>
      <c r="E19" s="24">
        <v>8</v>
      </c>
      <c r="F19" s="414">
        <v>9239</v>
      </c>
      <c r="G19" s="24">
        <f t="shared" si="0"/>
        <v>0</v>
      </c>
      <c r="H19" s="414">
        <f t="shared" si="1"/>
        <v>356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f t="shared" si="4"/>
        <v>0</v>
      </c>
    </row>
    <row r="20" spans="1:21" ht="14.45" customHeight="1" x14ac:dyDescent="0.25">
      <c r="A20" s="6" t="s">
        <v>121</v>
      </c>
      <c r="B20" s="9" t="s">
        <v>115</v>
      </c>
      <c r="C20" s="9">
        <v>1</v>
      </c>
      <c r="D20" s="414">
        <v>840</v>
      </c>
      <c r="E20" s="24">
        <v>1</v>
      </c>
      <c r="F20" s="414">
        <v>865</v>
      </c>
      <c r="G20" s="24">
        <f t="shared" si="0"/>
        <v>0</v>
      </c>
      <c r="H20" s="414">
        <f t="shared" si="1"/>
        <v>25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 t="shared" si="4"/>
        <v>0</v>
      </c>
    </row>
    <row r="21" spans="1:21" ht="14.45" customHeight="1" x14ac:dyDescent="0.25">
      <c r="A21" s="9" t="s">
        <v>1400</v>
      </c>
      <c r="B21" s="9" t="s">
        <v>115</v>
      </c>
      <c r="C21" s="9">
        <v>5</v>
      </c>
      <c r="D21" s="414">
        <v>7750</v>
      </c>
      <c r="E21" s="24">
        <v>5</v>
      </c>
      <c r="F21" s="414">
        <v>7975</v>
      </c>
      <c r="G21" s="24">
        <f t="shared" si="0"/>
        <v>0</v>
      </c>
      <c r="H21" s="414">
        <f t="shared" si="1"/>
        <v>225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ref="U21:U24" si="5">SUM(I21:T21)</f>
        <v>0</v>
      </c>
    </row>
    <row r="22" spans="1:21" ht="14.45" customHeight="1" x14ac:dyDescent="0.25">
      <c r="A22" s="9" t="s">
        <v>310</v>
      </c>
      <c r="B22" s="9" t="s">
        <v>115</v>
      </c>
      <c r="C22" s="9">
        <v>9</v>
      </c>
      <c r="D22" s="414">
        <v>16726.5</v>
      </c>
      <c r="E22" s="24">
        <v>9</v>
      </c>
      <c r="F22" s="414">
        <v>15755</v>
      </c>
      <c r="G22" s="24">
        <f t="shared" si="0"/>
        <v>0</v>
      </c>
      <c r="H22" s="414">
        <f t="shared" si="1"/>
        <v>-971.5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5"/>
        <v>0</v>
      </c>
    </row>
    <row r="23" spans="1:21" ht="14.45" customHeight="1" x14ac:dyDescent="0.25">
      <c r="A23" s="9" t="s">
        <v>309</v>
      </c>
      <c r="B23" s="9" t="s">
        <v>115</v>
      </c>
      <c r="C23" s="9">
        <v>9</v>
      </c>
      <c r="D23" s="414">
        <v>11718</v>
      </c>
      <c r="E23" s="24">
        <v>9</v>
      </c>
      <c r="F23" s="414">
        <v>11961</v>
      </c>
      <c r="G23" s="24">
        <f t="shared" si="0"/>
        <v>0</v>
      </c>
      <c r="H23" s="414">
        <f t="shared" si="1"/>
        <v>243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5"/>
        <v>0</v>
      </c>
    </row>
    <row r="24" spans="1:21" ht="15" customHeight="1" x14ac:dyDescent="0.25">
      <c r="A24" s="9" t="s">
        <v>33</v>
      </c>
      <c r="B24" s="9" t="s">
        <v>115</v>
      </c>
      <c r="C24" s="9">
        <v>8</v>
      </c>
      <c r="D24" s="414">
        <v>14081</v>
      </c>
      <c r="E24" s="24">
        <v>8</v>
      </c>
      <c r="F24" s="414">
        <v>14490</v>
      </c>
      <c r="G24" s="24">
        <f t="shared" si="0"/>
        <v>0</v>
      </c>
      <c r="H24" s="414">
        <f t="shared" si="1"/>
        <v>409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5"/>
        <v>0</v>
      </c>
    </row>
    <row r="25" spans="1:21" ht="14.45" customHeight="1" x14ac:dyDescent="0.25">
      <c r="A25" s="22" t="s">
        <v>1398</v>
      </c>
      <c r="B25" s="6" t="s">
        <v>60</v>
      </c>
      <c r="C25" s="9">
        <v>1</v>
      </c>
      <c r="D25" s="414">
        <v>1550</v>
      </c>
      <c r="E25" s="24">
        <v>1</v>
      </c>
      <c r="F25" s="414">
        <v>1595</v>
      </c>
      <c r="G25" s="24">
        <f t="shared" ref="G25:G33" si="6">E25-C25</f>
        <v>0</v>
      </c>
      <c r="H25" s="414">
        <f t="shared" ref="H25:H33" si="7">F25-D25</f>
        <v>45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f t="shared" ref="U25:U29" si="8">SUM(I25:T25)</f>
        <v>0</v>
      </c>
    </row>
    <row r="26" spans="1:21" ht="14.45" customHeight="1" x14ac:dyDescent="0.25">
      <c r="A26" s="6" t="s">
        <v>259</v>
      </c>
      <c r="B26" s="9" t="s">
        <v>115</v>
      </c>
      <c r="C26" s="9">
        <v>5</v>
      </c>
      <c r="D26" s="414">
        <v>3570</v>
      </c>
      <c r="E26" s="24">
        <v>5</v>
      </c>
      <c r="F26" s="414">
        <v>3125</v>
      </c>
      <c r="G26" s="24">
        <f t="shared" si="6"/>
        <v>0</v>
      </c>
      <c r="H26" s="414">
        <f t="shared" si="7"/>
        <v>-445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f t="shared" si="8"/>
        <v>0</v>
      </c>
    </row>
    <row r="27" spans="1:21" ht="14.45" customHeight="1" x14ac:dyDescent="0.25">
      <c r="A27" s="6" t="s">
        <v>117</v>
      </c>
      <c r="B27" s="6" t="s">
        <v>1293</v>
      </c>
      <c r="C27" s="9">
        <v>2</v>
      </c>
      <c r="D27" s="414">
        <v>4305</v>
      </c>
      <c r="E27" s="24">
        <v>2</v>
      </c>
      <c r="F27" s="414">
        <v>3890</v>
      </c>
      <c r="G27" s="24">
        <f t="shared" si="6"/>
        <v>0</v>
      </c>
      <c r="H27" s="414">
        <f t="shared" si="7"/>
        <v>-415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f t="shared" si="8"/>
        <v>0</v>
      </c>
    </row>
    <row r="28" spans="1:21" ht="14.45" customHeight="1" x14ac:dyDescent="0.25">
      <c r="A28" s="6" t="s">
        <v>280</v>
      </c>
      <c r="B28" s="6" t="s">
        <v>1293</v>
      </c>
      <c r="C28" s="9">
        <v>6</v>
      </c>
      <c r="D28" s="414">
        <v>7770</v>
      </c>
      <c r="E28" s="24">
        <v>6</v>
      </c>
      <c r="F28" s="414">
        <v>8535</v>
      </c>
      <c r="G28" s="24">
        <f t="shared" si="6"/>
        <v>0</v>
      </c>
      <c r="H28" s="414">
        <f t="shared" si="7"/>
        <v>765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f t="shared" si="8"/>
        <v>0</v>
      </c>
    </row>
    <row r="29" spans="1:21" ht="14.45" customHeight="1" x14ac:dyDescent="0.25">
      <c r="A29" s="6" t="s">
        <v>1401</v>
      </c>
      <c r="B29" s="9" t="s">
        <v>115</v>
      </c>
      <c r="C29" s="9">
        <v>6</v>
      </c>
      <c r="D29" s="414">
        <v>9300</v>
      </c>
      <c r="E29" s="24">
        <v>6</v>
      </c>
      <c r="F29" s="414">
        <v>9570</v>
      </c>
      <c r="G29" s="24">
        <f t="shared" si="6"/>
        <v>0</v>
      </c>
      <c r="H29" s="414">
        <f t="shared" si="7"/>
        <v>270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>
        <f t="shared" si="8"/>
        <v>0</v>
      </c>
    </row>
    <row r="30" spans="1:21" ht="14.45" customHeight="1" x14ac:dyDescent="0.25">
      <c r="A30" s="6" t="s">
        <v>254</v>
      </c>
      <c r="B30" s="9" t="s">
        <v>115</v>
      </c>
      <c r="C30" s="9">
        <v>8</v>
      </c>
      <c r="D30" s="414">
        <v>12758</v>
      </c>
      <c r="E30" s="24">
        <v>8</v>
      </c>
      <c r="F30" s="414">
        <v>12641</v>
      </c>
      <c r="G30" s="24">
        <f t="shared" si="6"/>
        <v>0</v>
      </c>
      <c r="H30" s="414">
        <f t="shared" si="7"/>
        <v>-117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f t="shared" ref="U30:U33" si="9">SUM(I30:T30)</f>
        <v>0</v>
      </c>
    </row>
    <row r="31" spans="1:21" ht="14.45" customHeight="1" x14ac:dyDescent="0.25">
      <c r="A31" s="6" t="s">
        <v>1397</v>
      </c>
      <c r="B31" s="6" t="s">
        <v>60</v>
      </c>
      <c r="C31" s="9">
        <v>5</v>
      </c>
      <c r="D31" s="414">
        <v>7750</v>
      </c>
      <c r="E31" s="24">
        <v>5</v>
      </c>
      <c r="F31" s="414">
        <v>7795</v>
      </c>
      <c r="G31" s="24">
        <f t="shared" si="6"/>
        <v>0</v>
      </c>
      <c r="H31" s="414">
        <f t="shared" si="7"/>
        <v>45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f t="shared" si="9"/>
        <v>0</v>
      </c>
    </row>
    <row r="32" spans="1:21" ht="14.45" customHeight="1" x14ac:dyDescent="0.25">
      <c r="A32" s="9" t="s">
        <v>1394</v>
      </c>
      <c r="B32" s="9" t="s">
        <v>115</v>
      </c>
      <c r="C32" s="9">
        <v>5</v>
      </c>
      <c r="D32" s="414">
        <v>9975</v>
      </c>
      <c r="E32" s="24">
        <v>5</v>
      </c>
      <c r="F32" s="414">
        <v>9725</v>
      </c>
      <c r="G32" s="24">
        <f t="shared" si="6"/>
        <v>0</v>
      </c>
      <c r="H32" s="414">
        <f t="shared" si="7"/>
        <v>-250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 t="shared" si="9"/>
        <v>0</v>
      </c>
    </row>
    <row r="33" spans="1:21" ht="15" customHeight="1" x14ac:dyDescent="0.25">
      <c r="A33" s="9" t="s">
        <v>225</v>
      </c>
      <c r="B33" s="9" t="s">
        <v>60</v>
      </c>
      <c r="C33" s="9">
        <v>10</v>
      </c>
      <c r="D33" s="414">
        <v>14270</v>
      </c>
      <c r="E33" s="24">
        <v>10</v>
      </c>
      <c r="F33" s="414">
        <v>12834</v>
      </c>
      <c r="G33" s="24">
        <f t="shared" si="6"/>
        <v>0</v>
      </c>
      <c r="H33" s="414">
        <f t="shared" si="7"/>
        <v>-1436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f t="shared" si="9"/>
        <v>0</v>
      </c>
    </row>
    <row r="34" spans="1:21" ht="14.45" customHeight="1" x14ac:dyDescent="0.25">
      <c r="A34" s="6" t="s">
        <v>1396</v>
      </c>
      <c r="B34" s="6" t="s">
        <v>1293</v>
      </c>
      <c r="C34" s="9">
        <v>8</v>
      </c>
      <c r="D34" s="414">
        <v>14600</v>
      </c>
      <c r="E34" s="24">
        <v>8</v>
      </c>
      <c r="F34" s="414">
        <v>14960</v>
      </c>
      <c r="G34" s="24">
        <f t="shared" ref="G34:H39" si="10">E34-C34</f>
        <v>0</v>
      </c>
      <c r="H34" s="414">
        <f t="shared" si="10"/>
        <v>360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 t="shared" ref="U34:U39" si="11">SUM(I34:T34)</f>
        <v>0</v>
      </c>
    </row>
    <row r="35" spans="1:21" ht="14.45" customHeight="1" x14ac:dyDescent="0.25">
      <c r="A35" s="6" t="s">
        <v>118</v>
      </c>
      <c r="B35" s="6" t="s">
        <v>60</v>
      </c>
      <c r="C35" s="9">
        <v>3</v>
      </c>
      <c r="D35" s="414">
        <v>4662</v>
      </c>
      <c r="E35" s="24">
        <v>3</v>
      </c>
      <c r="F35" s="414">
        <v>4755</v>
      </c>
      <c r="G35" s="24">
        <f t="shared" si="10"/>
        <v>0</v>
      </c>
      <c r="H35" s="414">
        <f t="shared" si="10"/>
        <v>93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f t="shared" si="11"/>
        <v>0</v>
      </c>
    </row>
    <row r="36" spans="1:21" ht="14.45" customHeight="1" x14ac:dyDescent="0.25">
      <c r="A36" s="6" t="s">
        <v>306</v>
      </c>
      <c r="B36" s="6" t="s">
        <v>60</v>
      </c>
      <c r="C36" s="9">
        <v>4</v>
      </c>
      <c r="D36" s="414">
        <v>8085</v>
      </c>
      <c r="E36" s="24">
        <v>4</v>
      </c>
      <c r="F36" s="414">
        <v>8320</v>
      </c>
      <c r="G36" s="24">
        <f t="shared" si="10"/>
        <v>0</v>
      </c>
      <c r="H36" s="414">
        <f t="shared" si="10"/>
        <v>235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f t="shared" si="11"/>
        <v>0</v>
      </c>
    </row>
    <row r="37" spans="1:21" ht="14.45" customHeight="1" x14ac:dyDescent="0.25">
      <c r="A37" s="23" t="s">
        <v>307</v>
      </c>
      <c r="B37" s="6" t="s">
        <v>60</v>
      </c>
      <c r="C37" s="9">
        <v>1</v>
      </c>
      <c r="D37" s="414">
        <v>1365</v>
      </c>
      <c r="E37" s="24">
        <v>1</v>
      </c>
      <c r="F37" s="414">
        <v>865</v>
      </c>
      <c r="G37" s="24">
        <f t="shared" si="10"/>
        <v>0</v>
      </c>
      <c r="H37" s="414">
        <f t="shared" si="10"/>
        <v>-500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f t="shared" si="11"/>
        <v>0</v>
      </c>
    </row>
    <row r="38" spans="1:21" ht="14.45" customHeight="1" x14ac:dyDescent="0.25">
      <c r="A38" s="6" t="s">
        <v>305</v>
      </c>
      <c r="B38" s="6" t="s">
        <v>60</v>
      </c>
      <c r="C38" s="9">
        <v>1</v>
      </c>
      <c r="D38" s="414">
        <v>1365</v>
      </c>
      <c r="E38" s="24">
        <v>1</v>
      </c>
      <c r="F38" s="414">
        <v>1405</v>
      </c>
      <c r="G38" s="24">
        <f t="shared" si="10"/>
        <v>0</v>
      </c>
      <c r="H38" s="414">
        <f t="shared" si="10"/>
        <v>40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>
        <f t="shared" si="11"/>
        <v>0</v>
      </c>
    </row>
    <row r="39" spans="1:21" ht="14.45" customHeight="1" x14ac:dyDescent="0.25">
      <c r="A39" s="6" t="s">
        <v>41</v>
      </c>
      <c r="B39" s="6" t="s">
        <v>60</v>
      </c>
      <c r="C39" s="9">
        <v>1</v>
      </c>
      <c r="D39" s="414">
        <v>420</v>
      </c>
      <c r="E39" s="24">
        <v>1</v>
      </c>
      <c r="F39" s="414">
        <v>430</v>
      </c>
      <c r="G39" s="24">
        <f t="shared" si="10"/>
        <v>0</v>
      </c>
      <c r="H39" s="414">
        <f t="shared" si="10"/>
        <v>10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>
        <f t="shared" si="11"/>
        <v>0</v>
      </c>
    </row>
    <row r="40" spans="1:21" ht="14.45" customHeight="1" x14ac:dyDescent="0.25">
      <c r="A40" s="6" t="s">
        <v>1135</v>
      </c>
      <c r="B40" s="6" t="s">
        <v>60</v>
      </c>
      <c r="C40" s="9">
        <v>1</v>
      </c>
      <c r="D40" s="414">
        <v>1365</v>
      </c>
      <c r="E40" s="24">
        <v>1</v>
      </c>
      <c r="F40" s="414">
        <v>1405</v>
      </c>
      <c r="G40" s="24">
        <f t="shared" ref="G40:H43" si="12">E40-C40</f>
        <v>0</v>
      </c>
      <c r="H40" s="414">
        <f t="shared" si="12"/>
        <v>40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 t="shared" ref="U40:U43" si="13">SUM(I40:T40)</f>
        <v>0</v>
      </c>
    </row>
    <row r="41" spans="1:21" ht="14.45" customHeight="1" x14ac:dyDescent="0.25">
      <c r="A41" s="9" t="s">
        <v>387</v>
      </c>
      <c r="B41" s="24" t="s">
        <v>60</v>
      </c>
      <c r="C41" s="24">
        <v>11</v>
      </c>
      <c r="D41" s="414">
        <v>17050</v>
      </c>
      <c r="E41" s="24">
        <v>11</v>
      </c>
      <c r="F41" s="414">
        <v>17545</v>
      </c>
      <c r="G41" s="24">
        <f t="shared" si="12"/>
        <v>0</v>
      </c>
      <c r="H41" s="414">
        <f t="shared" si="12"/>
        <v>495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>
        <f t="shared" si="13"/>
        <v>0</v>
      </c>
    </row>
    <row r="42" spans="1:21" ht="14.45" customHeight="1" x14ac:dyDescent="0.25">
      <c r="A42" s="24" t="s">
        <v>745</v>
      </c>
      <c r="B42" s="24" t="s">
        <v>1293</v>
      </c>
      <c r="C42" s="24"/>
      <c r="D42" s="414"/>
      <c r="E42" s="24"/>
      <c r="F42" s="414">
        <v>2200</v>
      </c>
      <c r="G42" s="24">
        <f t="shared" si="12"/>
        <v>0</v>
      </c>
      <c r="H42" s="414">
        <f t="shared" si="12"/>
        <v>2200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f t="shared" si="13"/>
        <v>0</v>
      </c>
    </row>
    <row r="43" spans="1:21" ht="15" customHeight="1" x14ac:dyDescent="0.25">
      <c r="A43" s="24"/>
      <c r="B43" s="24"/>
      <c r="C43" s="24"/>
      <c r="D43" s="414"/>
      <c r="E43" s="24"/>
      <c r="F43" s="414"/>
      <c r="G43" s="24">
        <f t="shared" si="12"/>
        <v>0</v>
      </c>
      <c r="H43" s="414">
        <f t="shared" si="12"/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 t="shared" si="13"/>
        <v>0</v>
      </c>
    </row>
    <row r="44" spans="1:21" ht="15" customHeight="1" x14ac:dyDescent="0.25">
      <c r="A44" s="443" t="s">
        <v>1221</v>
      </c>
      <c r="B44" s="444"/>
      <c r="C44" s="507">
        <f t="shared" ref="C44:H44" si="14">SUM(C5:C43)</f>
        <v>187</v>
      </c>
      <c r="D44" s="508">
        <f t="shared" si="14"/>
        <v>275205.5</v>
      </c>
      <c r="E44" s="507">
        <f t="shared" si="14"/>
        <v>187</v>
      </c>
      <c r="F44" s="508">
        <f t="shared" si="14"/>
        <v>276231</v>
      </c>
      <c r="G44" s="507">
        <f t="shared" si="14"/>
        <v>0</v>
      </c>
      <c r="H44" s="508">
        <f t="shared" si="14"/>
        <v>1025.5</v>
      </c>
      <c r="I44" s="447">
        <f t="shared" ref="I44:U44" si="15">SUM(I34:I43)</f>
        <v>0</v>
      </c>
      <c r="J44" s="447">
        <f t="shared" si="15"/>
        <v>0</v>
      </c>
      <c r="K44" s="447">
        <f t="shared" si="15"/>
        <v>0</v>
      </c>
      <c r="L44" s="447">
        <f t="shared" si="15"/>
        <v>0</v>
      </c>
      <c r="M44" s="447">
        <f t="shared" si="15"/>
        <v>0</v>
      </c>
      <c r="N44" s="447">
        <f t="shared" si="15"/>
        <v>0</v>
      </c>
      <c r="O44" s="447">
        <f t="shared" si="15"/>
        <v>0</v>
      </c>
      <c r="P44" s="447">
        <f t="shared" si="15"/>
        <v>0</v>
      </c>
      <c r="Q44" s="447">
        <f t="shared" si="15"/>
        <v>0</v>
      </c>
      <c r="R44" s="447">
        <f t="shared" si="15"/>
        <v>0</v>
      </c>
      <c r="S44" s="447">
        <f t="shared" si="15"/>
        <v>0</v>
      </c>
      <c r="T44" s="447">
        <f t="shared" si="15"/>
        <v>0</v>
      </c>
      <c r="U44" s="447">
        <f t="shared" si="15"/>
        <v>0</v>
      </c>
    </row>
    <row r="46" spans="1:21" x14ac:dyDescent="0.25">
      <c r="A46" s="739" t="s">
        <v>1227</v>
      </c>
      <c r="B46" s="739"/>
    </row>
    <row r="47" spans="1:21" ht="30" x14ac:dyDescent="0.25">
      <c r="A47" s="449" t="s">
        <v>1</v>
      </c>
      <c r="B47" s="449" t="s">
        <v>59</v>
      </c>
      <c r="C47" s="425" t="s">
        <v>1222</v>
      </c>
      <c r="D47" s="425" t="s">
        <v>1223</v>
      </c>
      <c r="E47" s="425" t="s">
        <v>392</v>
      </c>
      <c r="F47" s="426" t="s">
        <v>2</v>
      </c>
      <c r="G47" s="432" t="s">
        <v>1225</v>
      </c>
      <c r="H47" s="427" t="s">
        <v>1224</v>
      </c>
      <c r="I47" s="424" t="s">
        <v>681</v>
      </c>
      <c r="J47" s="424" t="s">
        <v>77</v>
      </c>
      <c r="K47" s="424" t="s">
        <v>682</v>
      </c>
      <c r="L47" s="424" t="s">
        <v>683</v>
      </c>
      <c r="M47" s="424" t="s">
        <v>87</v>
      </c>
      <c r="N47" s="424" t="s">
        <v>684</v>
      </c>
      <c r="O47" s="424" t="s">
        <v>685</v>
      </c>
      <c r="P47" s="424" t="s">
        <v>690</v>
      </c>
      <c r="Q47" s="424" t="s">
        <v>686</v>
      </c>
      <c r="R47" s="424" t="s">
        <v>687</v>
      </c>
      <c r="S47" s="424" t="s">
        <v>688</v>
      </c>
      <c r="T47" s="424" t="s">
        <v>689</v>
      </c>
      <c r="U47" s="424" t="s">
        <v>1238</v>
      </c>
    </row>
    <row r="48" spans="1:21" ht="15" customHeight="1" x14ac:dyDescent="0.25">
      <c r="A48" s="489" t="s">
        <v>1409</v>
      </c>
      <c r="B48" s="24" t="s">
        <v>115</v>
      </c>
      <c r="C48" s="430">
        <v>42237</v>
      </c>
      <c r="D48" s="431">
        <v>42279</v>
      </c>
      <c r="E48" s="421">
        <v>40</v>
      </c>
      <c r="F48" s="431">
        <v>42278</v>
      </c>
      <c r="G48" s="421">
        <v>1</v>
      </c>
      <c r="H48" s="28">
        <v>1595</v>
      </c>
      <c r="I48" s="24">
        <v>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v>1</v>
      </c>
    </row>
    <row r="49" spans="1:21" ht="15" customHeight="1" x14ac:dyDescent="0.25">
      <c r="A49" s="489" t="s">
        <v>1380</v>
      </c>
      <c r="B49" s="24" t="s">
        <v>115</v>
      </c>
      <c r="C49" s="430">
        <v>41773</v>
      </c>
      <c r="D49" s="431">
        <v>42237</v>
      </c>
      <c r="E49" s="421">
        <v>450</v>
      </c>
      <c r="F49" s="431">
        <v>42237</v>
      </c>
      <c r="G49" s="421">
        <v>2</v>
      </c>
      <c r="H49" s="28">
        <v>3100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>
        <v>2</v>
      </c>
      <c r="U49" s="24">
        <f t="shared" ref="U49:U53" si="16">SUM(I49:T49)</f>
        <v>2</v>
      </c>
    </row>
    <row r="50" spans="1:21" ht="15" customHeight="1" x14ac:dyDescent="0.25">
      <c r="A50" s="489" t="s">
        <v>1416</v>
      </c>
      <c r="B50" s="483" t="s">
        <v>60</v>
      </c>
      <c r="C50" s="487">
        <v>42111</v>
      </c>
      <c r="D50" s="488">
        <v>42293</v>
      </c>
      <c r="E50" s="486">
        <v>180</v>
      </c>
      <c r="F50" s="488">
        <v>42223</v>
      </c>
      <c r="G50" s="486">
        <v>2</v>
      </c>
      <c r="H50" s="485">
        <v>3031</v>
      </c>
      <c r="I50" s="483">
        <v>1</v>
      </c>
      <c r="J50" s="483"/>
      <c r="K50" s="483"/>
      <c r="L50" s="483"/>
      <c r="M50" s="483">
        <v>1</v>
      </c>
      <c r="N50" s="483"/>
      <c r="O50" s="483"/>
      <c r="P50" s="483"/>
      <c r="Q50" s="483"/>
      <c r="R50" s="483"/>
      <c r="S50" s="483"/>
      <c r="T50" s="483"/>
      <c r="U50" s="483">
        <f t="shared" si="16"/>
        <v>2</v>
      </c>
    </row>
    <row r="51" spans="1:21" ht="15" customHeight="1" x14ac:dyDescent="0.25">
      <c r="A51" s="489" t="s">
        <v>1411</v>
      </c>
      <c r="B51" s="24" t="s">
        <v>1293</v>
      </c>
      <c r="C51" s="430">
        <v>42284</v>
      </c>
      <c r="D51" s="431">
        <v>42285</v>
      </c>
      <c r="E51" s="421">
        <v>1</v>
      </c>
      <c r="F51" s="431">
        <v>42285</v>
      </c>
      <c r="G51" s="421">
        <v>3</v>
      </c>
      <c r="H51" s="28">
        <v>6850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>
        <v>3</v>
      </c>
      <c r="U51" s="24">
        <f t="shared" si="16"/>
        <v>3</v>
      </c>
    </row>
    <row r="52" spans="1:21" ht="15" customHeight="1" x14ac:dyDescent="0.25">
      <c r="A52" s="489" t="s">
        <v>1257</v>
      </c>
      <c r="B52" s="483" t="s">
        <v>60</v>
      </c>
      <c r="C52" s="506">
        <v>42082</v>
      </c>
      <c r="D52" s="506">
        <v>42297</v>
      </c>
      <c r="E52" s="483">
        <v>210</v>
      </c>
      <c r="F52" s="506">
        <v>42293</v>
      </c>
      <c r="G52" s="483">
        <v>2</v>
      </c>
      <c r="H52" s="485">
        <f>3190+2200</f>
        <v>5390</v>
      </c>
      <c r="I52" s="483"/>
      <c r="J52" s="483"/>
      <c r="K52" s="483"/>
      <c r="L52" s="483"/>
      <c r="M52" s="483"/>
      <c r="N52" s="483">
        <v>1</v>
      </c>
      <c r="O52" s="483"/>
      <c r="P52" s="483"/>
      <c r="Q52" s="483"/>
      <c r="R52" s="483">
        <v>1</v>
      </c>
      <c r="S52" s="483"/>
      <c r="T52" s="483"/>
      <c r="U52" s="483">
        <f t="shared" si="16"/>
        <v>2</v>
      </c>
    </row>
    <row r="53" spans="1:21" ht="15" customHeight="1" x14ac:dyDescent="0.25">
      <c r="A53" s="509" t="s">
        <v>1389</v>
      </c>
      <c r="B53" s="491" t="s">
        <v>115</v>
      </c>
      <c r="C53" s="492">
        <v>42052</v>
      </c>
      <c r="D53" s="493">
        <v>42255</v>
      </c>
      <c r="E53" s="494">
        <v>210</v>
      </c>
      <c r="F53" s="493">
        <v>42278</v>
      </c>
      <c r="G53" s="494">
        <v>5</v>
      </c>
      <c r="H53" s="495">
        <v>7750</v>
      </c>
      <c r="I53" s="491">
        <v>1</v>
      </c>
      <c r="J53" s="491">
        <v>2</v>
      </c>
      <c r="K53" s="491">
        <v>1</v>
      </c>
      <c r="L53" s="491"/>
      <c r="M53" s="491"/>
      <c r="N53" s="491">
        <v>1</v>
      </c>
      <c r="O53" s="491"/>
      <c r="P53" s="491"/>
      <c r="Q53" s="491"/>
      <c r="R53" s="491"/>
      <c r="S53" s="491"/>
      <c r="T53" s="491"/>
      <c r="U53" s="491">
        <f t="shared" si="16"/>
        <v>5</v>
      </c>
    </row>
    <row r="54" spans="1:21" s="422" customFormat="1" ht="14.45" customHeight="1" x14ac:dyDescent="0.25">
      <c r="A54" s="509" t="s">
        <v>1427</v>
      </c>
      <c r="B54" s="483" t="s">
        <v>60</v>
      </c>
      <c r="C54" s="506">
        <v>42305</v>
      </c>
      <c r="D54" s="506">
        <v>42311</v>
      </c>
      <c r="E54" s="483">
        <v>6</v>
      </c>
      <c r="F54" s="506">
        <v>42308</v>
      </c>
      <c r="G54" s="483">
        <v>3</v>
      </c>
      <c r="H54" s="495">
        <v>4785</v>
      </c>
      <c r="I54" s="483"/>
      <c r="J54" s="483"/>
      <c r="K54" s="483"/>
      <c r="L54" s="483"/>
      <c r="M54" s="483"/>
      <c r="N54" s="483"/>
      <c r="O54" s="483"/>
      <c r="P54" s="483">
        <v>1</v>
      </c>
      <c r="Q54" s="483">
        <v>1</v>
      </c>
      <c r="R54" s="483">
        <v>1</v>
      </c>
      <c r="S54" s="483"/>
      <c r="T54" s="483"/>
      <c r="U54" s="491"/>
    </row>
    <row r="55" spans="1:21" s="422" customFormat="1" ht="14.45" customHeight="1" x14ac:dyDescent="0.25">
      <c r="A55" s="490"/>
      <c r="B55" s="483"/>
      <c r="C55" s="487"/>
      <c r="D55" s="488"/>
      <c r="E55" s="486"/>
      <c r="F55" s="488"/>
      <c r="G55" s="486"/>
      <c r="H55" s="495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91"/>
    </row>
    <row r="56" spans="1:21" s="422" customFormat="1" x14ac:dyDescent="0.25">
      <c r="A56" s="490"/>
      <c r="B56" s="496"/>
      <c r="C56" s="497"/>
      <c r="D56" s="498"/>
      <c r="E56" s="499"/>
      <c r="F56" s="498"/>
      <c r="G56" s="499"/>
      <c r="H56" s="485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515"/>
    </row>
    <row r="57" spans="1:21" ht="15" customHeight="1" x14ac:dyDescent="0.25">
      <c r="A57" s="500" t="s">
        <v>1226</v>
      </c>
      <c r="B57" s="501"/>
      <c r="C57" s="502"/>
      <c r="D57" s="503"/>
      <c r="E57" s="504"/>
      <c r="F57" s="503"/>
      <c r="G57" s="504">
        <f>SUM(G48:G56)</f>
        <v>18</v>
      </c>
      <c r="H57" s="505">
        <f>SUM(H48:H56)</f>
        <v>32501</v>
      </c>
      <c r="I57" s="504">
        <f t="shared" ref="I57:U57" si="17">SUM(I48:I55)</f>
        <v>3</v>
      </c>
      <c r="J57" s="504">
        <f t="shared" si="17"/>
        <v>2</v>
      </c>
      <c r="K57" s="504">
        <f t="shared" si="17"/>
        <v>1</v>
      </c>
      <c r="L57" s="504">
        <f t="shared" si="17"/>
        <v>0</v>
      </c>
      <c r="M57" s="504">
        <f t="shared" si="17"/>
        <v>1</v>
      </c>
      <c r="N57" s="504">
        <f t="shared" si="17"/>
        <v>2</v>
      </c>
      <c r="O57" s="504">
        <f t="shared" si="17"/>
        <v>0</v>
      </c>
      <c r="P57" s="504">
        <f t="shared" si="17"/>
        <v>1</v>
      </c>
      <c r="Q57" s="504">
        <f t="shared" si="17"/>
        <v>1</v>
      </c>
      <c r="R57" s="504">
        <f t="shared" si="17"/>
        <v>2</v>
      </c>
      <c r="S57" s="504">
        <f t="shared" si="17"/>
        <v>0</v>
      </c>
      <c r="T57" s="504">
        <f t="shared" si="17"/>
        <v>5</v>
      </c>
      <c r="U57" s="504">
        <f t="shared" si="17"/>
        <v>15</v>
      </c>
    </row>
    <row r="58" spans="1:21" ht="15" customHeight="1" x14ac:dyDescent="0.25">
      <c r="A58" s="428"/>
      <c r="B58" s="422"/>
      <c r="C58" s="422"/>
      <c r="D58" s="429"/>
      <c r="E58" s="422"/>
      <c r="F58" s="429"/>
      <c r="G58" s="433"/>
      <c r="H58" s="422"/>
    </row>
    <row r="59" spans="1:21" x14ac:dyDescent="0.25">
      <c r="A59" s="739" t="s">
        <v>1228</v>
      </c>
      <c r="B59" s="739"/>
      <c r="G59" s="420"/>
    </row>
    <row r="60" spans="1:21" ht="30" x14ac:dyDescent="0.25">
      <c r="A60" s="449" t="s">
        <v>1</v>
      </c>
      <c r="B60" s="449" t="s">
        <v>59</v>
      </c>
      <c r="C60" s="425" t="s">
        <v>1222</v>
      </c>
      <c r="D60" s="425" t="s">
        <v>1223</v>
      </c>
      <c r="E60" s="425" t="s">
        <v>392</v>
      </c>
      <c r="F60" s="426" t="s">
        <v>2</v>
      </c>
      <c r="G60" s="432" t="s">
        <v>1225</v>
      </c>
      <c r="H60" s="427" t="s">
        <v>1224</v>
      </c>
      <c r="I60" s="424" t="s">
        <v>681</v>
      </c>
      <c r="J60" s="424" t="s">
        <v>77</v>
      </c>
      <c r="K60" s="424" t="s">
        <v>682</v>
      </c>
      <c r="L60" s="424" t="s">
        <v>683</v>
      </c>
      <c r="M60" s="424" t="s">
        <v>87</v>
      </c>
      <c r="N60" s="424" t="s">
        <v>684</v>
      </c>
      <c r="O60" s="424" t="s">
        <v>685</v>
      </c>
      <c r="P60" s="424" t="s">
        <v>690</v>
      </c>
      <c r="Q60" s="424" t="s">
        <v>686</v>
      </c>
      <c r="R60" s="424" t="s">
        <v>687</v>
      </c>
      <c r="S60" s="424" t="s">
        <v>688</v>
      </c>
      <c r="T60" s="424" t="s">
        <v>689</v>
      </c>
      <c r="U60" s="424" t="s">
        <v>1238</v>
      </c>
    </row>
    <row r="61" spans="1:21" ht="15" customHeight="1" x14ac:dyDescent="0.25">
      <c r="A61" s="489" t="s">
        <v>1402</v>
      </c>
      <c r="B61" s="24" t="s">
        <v>1293</v>
      </c>
      <c r="C61" s="430">
        <v>42271</v>
      </c>
      <c r="D61" s="431">
        <v>42271</v>
      </c>
      <c r="E61" s="421">
        <v>1</v>
      </c>
      <c r="F61" s="431">
        <v>42278</v>
      </c>
      <c r="G61" s="421">
        <v>6</v>
      </c>
      <c r="H61" s="28">
        <v>12448</v>
      </c>
      <c r="I61" s="24"/>
      <c r="J61" s="24">
        <v>2</v>
      </c>
      <c r="K61" s="24"/>
      <c r="L61" s="24"/>
      <c r="M61" s="24"/>
      <c r="N61" s="24">
        <v>2</v>
      </c>
      <c r="O61" s="24"/>
      <c r="P61" s="24"/>
      <c r="Q61" s="24"/>
      <c r="R61" s="24"/>
      <c r="S61" s="24">
        <v>2</v>
      </c>
      <c r="T61" s="24"/>
      <c r="U61" s="24">
        <f t="shared" ref="U61:U69" si="18">SUM(I61:T61)</f>
        <v>6</v>
      </c>
    </row>
    <row r="62" spans="1:21" ht="15" customHeight="1" x14ac:dyDescent="0.25">
      <c r="A62" s="489" t="s">
        <v>1256</v>
      </c>
      <c r="B62" s="24" t="s">
        <v>60</v>
      </c>
      <c r="C62" s="430">
        <v>42284</v>
      </c>
      <c r="D62" s="431">
        <v>42285</v>
      </c>
      <c r="E62" s="421">
        <v>1</v>
      </c>
      <c r="F62" s="431">
        <v>42095</v>
      </c>
      <c r="G62" s="421">
        <v>1</v>
      </c>
      <c r="H62" s="28">
        <v>1595</v>
      </c>
      <c r="I62" s="24"/>
      <c r="J62" s="24"/>
      <c r="K62" s="24"/>
      <c r="L62" s="24">
        <v>1</v>
      </c>
      <c r="M62" s="24"/>
      <c r="N62" s="24"/>
      <c r="O62" s="24"/>
      <c r="P62" s="24"/>
      <c r="Q62" s="24"/>
      <c r="R62" s="24"/>
      <c r="S62" s="24"/>
      <c r="T62" s="24"/>
      <c r="U62" s="24">
        <f t="shared" si="18"/>
        <v>1</v>
      </c>
    </row>
    <row r="63" spans="1:21" ht="15" customHeight="1" x14ac:dyDescent="0.25">
      <c r="A63" s="489" t="s">
        <v>1417</v>
      </c>
      <c r="B63" s="24" t="s">
        <v>115</v>
      </c>
      <c r="C63" s="430">
        <v>42291</v>
      </c>
      <c r="D63" s="431">
        <v>42293</v>
      </c>
      <c r="E63" s="421">
        <v>2</v>
      </c>
      <c r="F63" s="431">
        <v>42292</v>
      </c>
      <c r="G63" s="421">
        <v>1</v>
      </c>
      <c r="H63" s="28">
        <v>1595</v>
      </c>
      <c r="I63" s="24"/>
      <c r="J63" s="24"/>
      <c r="K63" s="24"/>
      <c r="L63" s="24"/>
      <c r="M63" s="24"/>
      <c r="N63" s="24"/>
      <c r="O63" s="24"/>
      <c r="P63" s="24">
        <v>1</v>
      </c>
      <c r="Q63" s="24"/>
      <c r="R63" s="24"/>
      <c r="S63" s="24"/>
      <c r="T63" s="24"/>
      <c r="U63" s="24">
        <f t="shared" si="18"/>
        <v>1</v>
      </c>
    </row>
    <row r="64" spans="1:21" ht="15" customHeight="1" x14ac:dyDescent="0.25">
      <c r="A64" s="489" t="s">
        <v>1418</v>
      </c>
      <c r="B64" s="24" t="s">
        <v>115</v>
      </c>
      <c r="C64" s="430">
        <v>42278</v>
      </c>
      <c r="D64" s="431">
        <v>42291</v>
      </c>
      <c r="E64" s="421">
        <v>14</v>
      </c>
      <c r="F64" s="431">
        <v>42278</v>
      </c>
      <c r="G64" s="421">
        <v>4</v>
      </c>
      <c r="H64" s="28">
        <v>1680</v>
      </c>
      <c r="I64" s="24"/>
      <c r="J64" s="24"/>
      <c r="K64" s="24"/>
      <c r="L64" s="24"/>
      <c r="M64" s="24">
        <v>2</v>
      </c>
      <c r="N64" s="24"/>
      <c r="O64" s="24">
        <v>2</v>
      </c>
      <c r="P64" s="24"/>
      <c r="Q64" s="24"/>
      <c r="R64" s="24"/>
      <c r="S64" s="24"/>
      <c r="T64" s="24"/>
      <c r="U64" s="24">
        <f t="shared" si="18"/>
        <v>4</v>
      </c>
    </row>
    <row r="65" spans="1:21" ht="15" customHeight="1" x14ac:dyDescent="0.25">
      <c r="A65" s="489" t="s">
        <v>1419</v>
      </c>
      <c r="B65" s="24" t="s">
        <v>115</v>
      </c>
      <c r="C65" s="430">
        <v>42201</v>
      </c>
      <c r="D65" s="431">
        <v>42298</v>
      </c>
      <c r="E65" s="421">
        <v>95</v>
      </c>
      <c r="F65" s="431">
        <v>42298</v>
      </c>
      <c r="G65" s="421">
        <v>1</v>
      </c>
      <c r="H65" s="28">
        <v>840</v>
      </c>
      <c r="I65" s="24"/>
      <c r="J65" s="24"/>
      <c r="K65" s="24"/>
      <c r="L65" s="24"/>
      <c r="M65" s="24">
        <v>1</v>
      </c>
      <c r="N65" s="24"/>
      <c r="O65" s="24"/>
      <c r="P65" s="24"/>
      <c r="Q65" s="24"/>
      <c r="R65" s="24"/>
      <c r="S65" s="24"/>
      <c r="T65" s="24"/>
      <c r="U65" s="24">
        <f t="shared" si="18"/>
        <v>1</v>
      </c>
    </row>
    <row r="66" spans="1:21" ht="15" customHeight="1" x14ac:dyDescent="0.25">
      <c r="A66" s="27"/>
      <c r="B66" s="24"/>
      <c r="C66" s="430"/>
      <c r="D66" s="431"/>
      <c r="E66" s="421"/>
      <c r="F66" s="431"/>
      <c r="G66" s="421"/>
      <c r="H66" s="28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>
        <f t="shared" si="18"/>
        <v>0</v>
      </c>
    </row>
    <row r="67" spans="1:21" ht="15" customHeight="1" x14ac:dyDescent="0.25">
      <c r="A67" s="27"/>
      <c r="B67" s="24"/>
      <c r="C67" s="430"/>
      <c r="D67" s="431"/>
      <c r="E67" s="421"/>
      <c r="F67" s="431"/>
      <c r="G67" s="421"/>
      <c r="H67" s="28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>
        <f t="shared" si="18"/>
        <v>0</v>
      </c>
    </row>
    <row r="68" spans="1:21" ht="15" customHeight="1" x14ac:dyDescent="0.25">
      <c r="A68" s="27"/>
      <c r="B68" s="24"/>
      <c r="C68" s="430"/>
      <c r="D68" s="431"/>
      <c r="E68" s="421"/>
      <c r="F68" s="431"/>
      <c r="G68" s="421"/>
      <c r="H68" s="28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>
        <f t="shared" si="18"/>
        <v>0</v>
      </c>
    </row>
    <row r="69" spans="1:21" ht="15" customHeight="1" x14ac:dyDescent="0.25">
      <c r="A69" s="27"/>
      <c r="B69" s="24"/>
      <c r="C69" s="430"/>
      <c r="D69" s="431"/>
      <c r="E69" s="421"/>
      <c r="F69" s="431"/>
      <c r="G69" s="421"/>
      <c r="H69" s="28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>
        <f t="shared" si="18"/>
        <v>0</v>
      </c>
    </row>
    <row r="70" spans="1:21" ht="15" customHeight="1" x14ac:dyDescent="0.25">
      <c r="A70" s="443" t="s">
        <v>450</v>
      </c>
      <c r="B70" s="444"/>
      <c r="C70" s="445"/>
      <c r="D70" s="446"/>
      <c r="E70" s="447"/>
      <c r="F70" s="446"/>
      <c r="G70" s="447">
        <f>SUM(G61:G69)</f>
        <v>13</v>
      </c>
      <c r="H70" s="448">
        <f>SUM(H61:H69)</f>
        <v>18158</v>
      </c>
      <c r="I70" s="447">
        <f t="shared" ref="I70:U70" si="19">SUM(I61:I69)</f>
        <v>0</v>
      </c>
      <c r="J70" s="447">
        <f t="shared" si="19"/>
        <v>2</v>
      </c>
      <c r="K70" s="447">
        <f t="shared" si="19"/>
        <v>0</v>
      </c>
      <c r="L70" s="447">
        <f t="shared" si="19"/>
        <v>1</v>
      </c>
      <c r="M70" s="447">
        <f t="shared" si="19"/>
        <v>3</v>
      </c>
      <c r="N70" s="447">
        <f t="shared" si="19"/>
        <v>2</v>
      </c>
      <c r="O70" s="447">
        <f t="shared" si="19"/>
        <v>2</v>
      </c>
      <c r="P70" s="447">
        <f t="shared" si="19"/>
        <v>1</v>
      </c>
      <c r="Q70" s="447">
        <f t="shared" si="19"/>
        <v>0</v>
      </c>
      <c r="R70" s="447">
        <f t="shared" si="19"/>
        <v>0</v>
      </c>
      <c r="S70" s="447">
        <f t="shared" si="19"/>
        <v>2</v>
      </c>
      <c r="T70" s="447">
        <f t="shared" si="19"/>
        <v>0</v>
      </c>
      <c r="U70" s="447">
        <f t="shared" si="19"/>
        <v>13</v>
      </c>
    </row>
    <row r="72" spans="1:21" x14ac:dyDescent="0.25">
      <c r="A72" s="739" t="s">
        <v>1229</v>
      </c>
      <c r="B72" s="739"/>
    </row>
    <row r="73" spans="1:21" ht="30" x14ac:dyDescent="0.25">
      <c r="A73" s="449" t="s">
        <v>1</v>
      </c>
      <c r="B73" s="449" t="s">
        <v>59</v>
      </c>
      <c r="C73" s="425"/>
      <c r="D73" s="425"/>
      <c r="E73" s="425"/>
      <c r="F73" s="426"/>
      <c r="G73" s="432" t="s">
        <v>1225</v>
      </c>
      <c r="H73" s="427" t="s">
        <v>1224</v>
      </c>
      <c r="I73" s="424" t="s">
        <v>681</v>
      </c>
      <c r="J73" s="424" t="s">
        <v>77</v>
      </c>
      <c r="K73" s="424" t="s">
        <v>682</v>
      </c>
      <c r="L73" s="424" t="s">
        <v>683</v>
      </c>
      <c r="M73" s="424" t="s">
        <v>87</v>
      </c>
      <c r="N73" s="424" t="s">
        <v>684</v>
      </c>
      <c r="O73" s="424" t="s">
        <v>685</v>
      </c>
      <c r="P73" s="424" t="s">
        <v>690</v>
      </c>
      <c r="Q73" s="424" t="s">
        <v>686</v>
      </c>
      <c r="R73" s="424" t="s">
        <v>687</v>
      </c>
      <c r="S73" s="424" t="s">
        <v>688</v>
      </c>
      <c r="T73" s="424" t="s">
        <v>689</v>
      </c>
      <c r="U73" s="424" t="s">
        <v>1238</v>
      </c>
    </row>
    <row r="74" spans="1:21" ht="15" customHeight="1" x14ac:dyDescent="0.25">
      <c r="A74" s="489" t="s">
        <v>1133</v>
      </c>
      <c r="B74" s="478" t="s">
        <v>115</v>
      </c>
      <c r="C74" s="481">
        <v>42271</v>
      </c>
      <c r="D74" s="482">
        <v>42281</v>
      </c>
      <c r="E74" s="480">
        <v>10</v>
      </c>
      <c r="F74" s="482">
        <v>42271</v>
      </c>
      <c r="G74" s="480">
        <v>-2</v>
      </c>
      <c r="H74" s="479">
        <v>-3190</v>
      </c>
      <c r="I74" s="478"/>
      <c r="J74" s="478"/>
      <c r="K74" s="478"/>
      <c r="L74" s="478">
        <v>-1</v>
      </c>
      <c r="M74" s="478">
        <v>-1</v>
      </c>
      <c r="N74" s="478"/>
      <c r="O74" s="478"/>
      <c r="P74" s="478"/>
      <c r="Q74" s="478"/>
      <c r="R74" s="478"/>
      <c r="S74" s="478"/>
      <c r="T74" s="478"/>
      <c r="U74" s="483">
        <f t="shared" ref="U74:U75" si="20">SUM(I74:T74)</f>
        <v>-2</v>
      </c>
    </row>
    <row r="75" spans="1:21" ht="15" customHeight="1" x14ac:dyDescent="0.25">
      <c r="A75" s="489" t="s">
        <v>1256</v>
      </c>
      <c r="B75" s="24" t="s">
        <v>60</v>
      </c>
      <c r="C75" s="430">
        <v>42284</v>
      </c>
      <c r="D75" s="431">
        <v>42285</v>
      </c>
      <c r="E75" s="421">
        <v>1</v>
      </c>
      <c r="F75" s="431">
        <v>42095</v>
      </c>
      <c r="G75" s="421">
        <v>-1</v>
      </c>
      <c r="H75" s="28">
        <v>-1595</v>
      </c>
      <c r="I75" s="24"/>
      <c r="J75" s="24"/>
      <c r="K75" s="24"/>
      <c r="L75" s="24"/>
      <c r="M75" s="24">
        <v>-1</v>
      </c>
      <c r="N75" s="24"/>
      <c r="O75" s="24"/>
      <c r="P75" s="24"/>
      <c r="Q75" s="24"/>
      <c r="R75" s="24"/>
      <c r="S75" s="24"/>
      <c r="T75" s="24"/>
      <c r="U75" s="24">
        <f t="shared" si="20"/>
        <v>-1</v>
      </c>
    </row>
    <row r="76" spans="1:21" ht="15" customHeight="1" x14ac:dyDescent="0.25">
      <c r="A76" s="489" t="s">
        <v>1417</v>
      </c>
      <c r="B76" s="483" t="s">
        <v>115</v>
      </c>
      <c r="C76" s="487">
        <v>42291</v>
      </c>
      <c r="D76" s="488">
        <v>42293</v>
      </c>
      <c r="E76" s="486">
        <v>2</v>
      </c>
      <c r="F76" s="488">
        <v>42292</v>
      </c>
      <c r="G76" s="486">
        <v>-1</v>
      </c>
      <c r="H76" s="485">
        <v>-1595</v>
      </c>
      <c r="I76" s="483"/>
      <c r="J76" s="483"/>
      <c r="K76" s="483">
        <v>-1</v>
      </c>
      <c r="L76" s="483"/>
      <c r="M76" s="483"/>
      <c r="N76" s="483"/>
      <c r="O76" s="483"/>
      <c r="P76" s="483"/>
      <c r="Q76" s="483"/>
      <c r="R76" s="483"/>
      <c r="S76" s="483"/>
      <c r="T76" s="483"/>
      <c r="U76" s="483">
        <f>SUM(I76:T76)</f>
        <v>-1</v>
      </c>
    </row>
    <row r="77" spans="1:21" s="422" customFormat="1" x14ac:dyDescent="0.25">
      <c r="A77" s="489" t="s">
        <v>1418</v>
      </c>
      <c r="B77" s="483" t="s">
        <v>115</v>
      </c>
      <c r="C77" s="506">
        <v>42278</v>
      </c>
      <c r="D77" s="506">
        <v>42291</v>
      </c>
      <c r="E77" s="483">
        <v>14</v>
      </c>
      <c r="F77" s="506">
        <v>42278</v>
      </c>
      <c r="G77" s="483">
        <v>-12</v>
      </c>
      <c r="H77" s="510">
        <v>-17535</v>
      </c>
      <c r="I77" s="483">
        <v>-2</v>
      </c>
      <c r="J77" s="483">
        <v>-2</v>
      </c>
      <c r="K77" s="483">
        <v>-2</v>
      </c>
      <c r="L77" s="483">
        <v>-2</v>
      </c>
      <c r="M77" s="483"/>
      <c r="N77" s="483">
        <v>-2</v>
      </c>
      <c r="O77" s="483"/>
      <c r="P77" s="483">
        <v>-2</v>
      </c>
      <c r="Q77" s="483"/>
      <c r="R77" s="483"/>
      <c r="S77" s="483"/>
      <c r="T77" s="483"/>
      <c r="U77" s="483">
        <f t="shared" ref="U77:U79" si="21">SUM(I77:T77)</f>
        <v>-12</v>
      </c>
    </row>
    <row r="78" spans="1:21" s="422" customFormat="1" x14ac:dyDescent="0.25">
      <c r="A78" s="489" t="s">
        <v>1420</v>
      </c>
      <c r="B78" s="483" t="s">
        <v>115</v>
      </c>
      <c r="C78" s="506">
        <v>42237</v>
      </c>
      <c r="D78" s="506">
        <v>42300</v>
      </c>
      <c r="E78" s="483">
        <v>62</v>
      </c>
      <c r="F78" s="506">
        <v>42005</v>
      </c>
      <c r="G78" s="483">
        <v>-1</v>
      </c>
      <c r="H78" s="510">
        <v>-1595</v>
      </c>
      <c r="I78" s="483"/>
      <c r="J78" s="483"/>
      <c r="K78" s="483"/>
      <c r="L78" s="483">
        <v>-1</v>
      </c>
      <c r="M78" s="483"/>
      <c r="N78" s="483"/>
      <c r="O78" s="483"/>
      <c r="P78" s="483"/>
      <c r="Q78" s="483"/>
      <c r="R78" s="483"/>
      <c r="S78" s="483"/>
      <c r="T78" s="483"/>
      <c r="U78" s="483">
        <f t="shared" ref="U78" si="22">SUM(I78:T78)</f>
        <v>-1</v>
      </c>
    </row>
    <row r="79" spans="1:21" s="422" customFormat="1" x14ac:dyDescent="0.25">
      <c r="A79" s="489" t="s">
        <v>1425</v>
      </c>
      <c r="B79" s="483"/>
      <c r="C79" s="506"/>
      <c r="D79" s="506"/>
      <c r="E79" s="483"/>
      <c r="F79" s="506">
        <v>42274</v>
      </c>
      <c r="G79" s="483"/>
      <c r="H79" s="510">
        <v>-2200</v>
      </c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>
        <f t="shared" si="21"/>
        <v>0</v>
      </c>
    </row>
    <row r="80" spans="1:21" s="422" customFormat="1" x14ac:dyDescent="0.25">
      <c r="A80" s="489" t="s">
        <v>1428</v>
      </c>
      <c r="B80" s="496" t="s">
        <v>1293</v>
      </c>
      <c r="C80" s="514">
        <v>42299</v>
      </c>
      <c r="D80" s="514">
        <v>42311</v>
      </c>
      <c r="E80" s="496">
        <v>10</v>
      </c>
      <c r="F80" s="514">
        <v>42299</v>
      </c>
      <c r="G80" s="496">
        <v>-3</v>
      </c>
      <c r="H80" s="516">
        <v>-4630</v>
      </c>
      <c r="I80" s="496"/>
      <c r="J80" s="496"/>
      <c r="K80" s="496"/>
      <c r="L80" s="496"/>
      <c r="M80" s="496"/>
      <c r="N80" s="496"/>
      <c r="O80" s="496"/>
      <c r="P80" s="496">
        <v>-3</v>
      </c>
      <c r="Q80" s="496"/>
      <c r="R80" s="496"/>
      <c r="S80" s="496"/>
      <c r="T80" s="496"/>
      <c r="U80" s="496"/>
    </row>
    <row r="81" spans="1:21" ht="15" customHeight="1" x14ac:dyDescent="0.25">
      <c r="A81" s="500" t="s">
        <v>1230</v>
      </c>
      <c r="B81" s="501"/>
      <c r="C81" s="502"/>
      <c r="D81" s="503"/>
      <c r="E81" s="504"/>
      <c r="F81" s="503"/>
      <c r="G81" s="504">
        <f>SUM(G74:G80)</f>
        <v>-20</v>
      </c>
      <c r="H81" s="505">
        <f>SUM(H74:H80)</f>
        <v>-32340</v>
      </c>
      <c r="I81" s="504">
        <f>SUM(I74:I79)</f>
        <v>-2</v>
      </c>
      <c r="J81" s="504">
        <f t="shared" ref="J81:T81" si="23">SUM(J74:J79)</f>
        <v>-2</v>
      </c>
      <c r="K81" s="504">
        <f t="shared" si="23"/>
        <v>-3</v>
      </c>
      <c r="L81" s="504">
        <f t="shared" si="23"/>
        <v>-4</v>
      </c>
      <c r="M81" s="504">
        <f t="shared" si="23"/>
        <v>-2</v>
      </c>
      <c r="N81" s="504">
        <f t="shared" si="23"/>
        <v>-2</v>
      </c>
      <c r="O81" s="504">
        <f t="shared" si="23"/>
        <v>0</v>
      </c>
      <c r="P81" s="504">
        <f t="shared" si="23"/>
        <v>-2</v>
      </c>
      <c r="Q81" s="504">
        <f t="shared" si="23"/>
        <v>0</v>
      </c>
      <c r="R81" s="504">
        <f t="shared" si="23"/>
        <v>0</v>
      </c>
      <c r="S81" s="504">
        <f t="shared" si="23"/>
        <v>0</v>
      </c>
      <c r="T81" s="504">
        <f t="shared" si="23"/>
        <v>0</v>
      </c>
      <c r="U81" s="504">
        <f>SUM(U74:U79)</f>
        <v>-17</v>
      </c>
    </row>
    <row r="83" spans="1:21" x14ac:dyDescent="0.25">
      <c r="A83" s="739" t="s">
        <v>1231</v>
      </c>
      <c r="B83" s="739"/>
    </row>
    <row r="84" spans="1:21" ht="30" x14ac:dyDescent="0.25">
      <c r="A84" s="449" t="s">
        <v>1</v>
      </c>
      <c r="B84" s="449" t="s">
        <v>59</v>
      </c>
      <c r="C84" s="425" t="s">
        <v>1222</v>
      </c>
      <c r="D84" s="425" t="s">
        <v>1223</v>
      </c>
      <c r="E84" s="425" t="s">
        <v>392</v>
      </c>
      <c r="F84" s="426" t="s">
        <v>2</v>
      </c>
      <c r="G84" s="432" t="s">
        <v>1225</v>
      </c>
      <c r="H84" s="427" t="s">
        <v>1224</v>
      </c>
      <c r="I84" s="424" t="s">
        <v>681</v>
      </c>
      <c r="J84" s="424" t="s">
        <v>77</v>
      </c>
      <c r="K84" s="424" t="s">
        <v>682</v>
      </c>
      <c r="L84" s="424" t="s">
        <v>683</v>
      </c>
      <c r="M84" s="424" t="s">
        <v>87</v>
      </c>
      <c r="N84" s="424" t="s">
        <v>684</v>
      </c>
      <c r="O84" s="424" t="s">
        <v>685</v>
      </c>
      <c r="P84" s="424" t="s">
        <v>690</v>
      </c>
      <c r="Q84" s="424" t="s">
        <v>686</v>
      </c>
      <c r="R84" s="424" t="s">
        <v>687</v>
      </c>
      <c r="S84" s="424" t="s">
        <v>688</v>
      </c>
      <c r="T84" s="424" t="s">
        <v>689</v>
      </c>
      <c r="U84" s="424" t="s">
        <v>1238</v>
      </c>
    </row>
    <row r="85" spans="1:21" ht="15" customHeight="1" x14ac:dyDescent="0.25">
      <c r="A85" s="489" t="s">
        <v>354</v>
      </c>
      <c r="B85" s="24" t="s">
        <v>60</v>
      </c>
      <c r="C85" s="430"/>
      <c r="D85" s="431"/>
      <c r="E85" s="421"/>
      <c r="F85" s="431"/>
      <c r="G85" s="421">
        <v>-2</v>
      </c>
      <c r="H85" s="28">
        <v>-3190</v>
      </c>
      <c r="I85" s="24">
        <v>-1</v>
      </c>
      <c r="J85" s="24"/>
      <c r="K85" s="24">
        <v>-1</v>
      </c>
      <c r="L85" s="24"/>
      <c r="M85" s="24"/>
      <c r="N85" s="24"/>
      <c r="O85" s="24"/>
      <c r="P85" s="24"/>
      <c r="Q85" s="24"/>
      <c r="R85" s="24"/>
      <c r="S85" s="24"/>
      <c r="T85" s="24"/>
      <c r="U85" s="24">
        <f t="shared" ref="U85:U87" si="24">SUM(I85:T85)</f>
        <v>-2</v>
      </c>
    </row>
    <row r="86" spans="1:21" ht="15" customHeight="1" x14ac:dyDescent="0.25">
      <c r="A86" s="489" t="s">
        <v>1414</v>
      </c>
      <c r="B86" s="24" t="s">
        <v>60</v>
      </c>
      <c r="C86" s="430"/>
      <c r="D86" s="431"/>
      <c r="E86" s="421"/>
      <c r="F86" s="431"/>
      <c r="G86" s="421">
        <v>-1</v>
      </c>
      <c r="H86" s="28">
        <v>-420</v>
      </c>
      <c r="I86" s="24"/>
      <c r="J86" s="24"/>
      <c r="K86" s="24"/>
      <c r="L86" s="24"/>
      <c r="M86" s="24">
        <v>-1</v>
      </c>
      <c r="N86" s="24"/>
      <c r="O86" s="24"/>
      <c r="P86" s="24"/>
      <c r="Q86" s="24"/>
      <c r="R86" s="24"/>
      <c r="S86" s="24"/>
      <c r="T86" s="24"/>
      <c r="U86" s="24">
        <f t="shared" si="24"/>
        <v>-1</v>
      </c>
    </row>
    <row r="87" spans="1:21" ht="15" customHeight="1" x14ac:dyDescent="0.25">
      <c r="A87" s="27"/>
      <c r="B87" s="24"/>
      <c r="C87" s="430"/>
      <c r="D87" s="431"/>
      <c r="E87" s="421"/>
      <c r="F87" s="431"/>
      <c r="G87" s="421"/>
      <c r="H87" s="28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f t="shared" si="24"/>
        <v>0</v>
      </c>
    </row>
    <row r="88" spans="1:21" ht="15" customHeight="1" x14ac:dyDescent="0.25">
      <c r="A88" s="443" t="s">
        <v>1230</v>
      </c>
      <c r="B88" s="444"/>
      <c r="C88" s="445"/>
      <c r="D88" s="446"/>
      <c r="E88" s="447"/>
      <c r="F88" s="446"/>
      <c r="G88" s="447">
        <f>SUM(G85:G87)</f>
        <v>-3</v>
      </c>
      <c r="H88" s="448">
        <f>SUM(H85:H87)</f>
        <v>-3610</v>
      </c>
      <c r="I88" s="447">
        <f t="shared" ref="I88:U88" si="25">SUM(I85:I87)</f>
        <v>-1</v>
      </c>
      <c r="J88" s="447">
        <f t="shared" si="25"/>
        <v>0</v>
      </c>
      <c r="K88" s="447">
        <f t="shared" si="25"/>
        <v>-1</v>
      </c>
      <c r="L88" s="447">
        <f t="shared" si="25"/>
        <v>0</v>
      </c>
      <c r="M88" s="447">
        <f t="shared" si="25"/>
        <v>-1</v>
      </c>
      <c r="N88" s="447">
        <f t="shared" si="25"/>
        <v>0</v>
      </c>
      <c r="O88" s="447">
        <f t="shared" si="25"/>
        <v>0</v>
      </c>
      <c r="P88" s="447">
        <f t="shared" si="25"/>
        <v>0</v>
      </c>
      <c r="Q88" s="447">
        <f t="shared" si="25"/>
        <v>0</v>
      </c>
      <c r="R88" s="447">
        <f t="shared" si="25"/>
        <v>0</v>
      </c>
      <c r="S88" s="447">
        <f t="shared" si="25"/>
        <v>0</v>
      </c>
      <c r="T88" s="447">
        <f t="shared" si="25"/>
        <v>0</v>
      </c>
      <c r="U88" s="447">
        <f t="shared" si="25"/>
        <v>-3</v>
      </c>
    </row>
    <row r="89" spans="1:21" ht="15.75" thickBot="1" x14ac:dyDescent="0.3"/>
    <row r="90" spans="1:21" ht="15.75" thickBot="1" x14ac:dyDescent="0.3">
      <c r="A90" s="436" t="s">
        <v>1232</v>
      </c>
      <c r="B90" s="434"/>
      <c r="C90" s="434"/>
      <c r="D90" s="434"/>
      <c r="E90" s="434"/>
      <c r="F90" s="434"/>
      <c r="G90" s="437">
        <f t="shared" ref="G90:U90" si="26">G44+G57+G70+G81+G88</f>
        <v>8</v>
      </c>
      <c r="H90" s="438">
        <f t="shared" si="26"/>
        <v>15734.5</v>
      </c>
      <c r="I90" s="450">
        <f t="shared" si="26"/>
        <v>0</v>
      </c>
      <c r="J90" s="450">
        <f t="shared" si="26"/>
        <v>2</v>
      </c>
      <c r="K90" s="450">
        <f t="shared" si="26"/>
        <v>-3</v>
      </c>
      <c r="L90" s="450">
        <f t="shared" si="26"/>
        <v>-3</v>
      </c>
      <c r="M90" s="450">
        <f t="shared" si="26"/>
        <v>1</v>
      </c>
      <c r="N90" s="450">
        <f t="shared" si="26"/>
        <v>2</v>
      </c>
      <c r="O90" s="450">
        <f t="shared" si="26"/>
        <v>2</v>
      </c>
      <c r="P90" s="450">
        <f t="shared" si="26"/>
        <v>0</v>
      </c>
      <c r="Q90" s="450">
        <f t="shared" si="26"/>
        <v>1</v>
      </c>
      <c r="R90" s="450">
        <f t="shared" si="26"/>
        <v>2</v>
      </c>
      <c r="S90" s="450">
        <f t="shared" si="26"/>
        <v>2</v>
      </c>
      <c r="T90" s="450">
        <f t="shared" si="26"/>
        <v>5</v>
      </c>
      <c r="U90" s="450">
        <f t="shared" si="26"/>
        <v>8</v>
      </c>
    </row>
    <row r="91" spans="1:21" ht="15.75" thickBot="1" x14ac:dyDescent="0.3">
      <c r="A91" s="436" t="s">
        <v>64</v>
      </c>
      <c r="B91" s="434"/>
      <c r="C91" s="434"/>
      <c r="D91" s="434"/>
      <c r="E91" s="434"/>
      <c r="F91" s="434"/>
      <c r="G91" s="437"/>
      <c r="H91" s="438"/>
    </row>
    <row r="92" spans="1:21" ht="15.75" thickBot="1" x14ac:dyDescent="0.3">
      <c r="A92" s="439" t="s">
        <v>452</v>
      </c>
      <c r="B92" s="440"/>
      <c r="C92" s="440"/>
      <c r="D92" s="440"/>
      <c r="E92" s="440"/>
      <c r="F92" s="440"/>
      <c r="G92" s="441"/>
      <c r="H92" s="442">
        <f>H90-H91</f>
        <v>15734.5</v>
      </c>
    </row>
    <row r="95" spans="1:21" x14ac:dyDescent="0.25">
      <c r="H95" s="435"/>
    </row>
  </sheetData>
  <sortState ref="A48:U57">
    <sortCondition ref="A48:A57"/>
  </sortState>
  <mergeCells count="8">
    <mergeCell ref="G3:H3"/>
    <mergeCell ref="A46:B46"/>
    <mergeCell ref="A59:B59"/>
    <mergeCell ref="A72:B72"/>
    <mergeCell ref="A83:B83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75"/>
  <sheetViews>
    <sheetView topLeftCell="A63" zoomScaleNormal="100" workbookViewId="0">
      <selection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8" width="11.85546875" style="419" customWidth="1"/>
    <col min="9" max="21" width="6.28515625" style="419" customWidth="1"/>
    <col min="22" max="16384" width="8.85546875" style="419"/>
  </cols>
  <sheetData>
    <row r="1" spans="1:21" x14ac:dyDescent="0.25">
      <c r="A1" s="418" t="s">
        <v>1361</v>
      </c>
    </row>
    <row r="3" spans="1:21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1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1238</v>
      </c>
    </row>
    <row r="5" spans="1:21" ht="14.45" customHeight="1" x14ac:dyDescent="0.25">
      <c r="A5" s="9" t="s">
        <v>57</v>
      </c>
      <c r="B5" s="6" t="s">
        <v>1293</v>
      </c>
      <c r="C5" s="9">
        <v>2</v>
      </c>
      <c r="D5" s="414">
        <v>3780</v>
      </c>
      <c r="E5" s="483">
        <v>2</v>
      </c>
      <c r="F5" s="414">
        <v>3890</v>
      </c>
      <c r="G5" s="483">
        <f t="shared" ref="G5:G10" si="0">E5-C5</f>
        <v>0</v>
      </c>
      <c r="H5" s="414">
        <f t="shared" ref="H5:H10" si="1">F5-D5</f>
        <v>110</v>
      </c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>
        <f t="shared" ref="U5:U6" si="2">SUM(I5:T5)</f>
        <v>0</v>
      </c>
    </row>
    <row r="6" spans="1:21" ht="14.45" customHeight="1" x14ac:dyDescent="0.25">
      <c r="A6" s="6" t="s">
        <v>210</v>
      </c>
      <c r="B6" s="6" t="s">
        <v>1293</v>
      </c>
      <c r="C6" s="9">
        <v>10</v>
      </c>
      <c r="D6" s="414">
        <v>17414.5</v>
      </c>
      <c r="E6" s="483">
        <v>10</v>
      </c>
      <c r="F6" s="414">
        <v>13279</v>
      </c>
      <c r="G6" s="483">
        <f t="shared" si="0"/>
        <v>0</v>
      </c>
      <c r="H6" s="414">
        <f t="shared" si="1"/>
        <v>-4135.5</v>
      </c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>
        <f t="shared" si="2"/>
        <v>0</v>
      </c>
    </row>
    <row r="7" spans="1:21" ht="14.45" customHeight="1" x14ac:dyDescent="0.25">
      <c r="A7" s="6" t="s">
        <v>152</v>
      </c>
      <c r="B7" s="6" t="s">
        <v>1293</v>
      </c>
      <c r="C7" s="9">
        <v>1</v>
      </c>
      <c r="D7" s="414">
        <v>2415</v>
      </c>
      <c r="E7" s="483">
        <v>1</v>
      </c>
      <c r="F7" s="414">
        <v>2485</v>
      </c>
      <c r="G7" s="483">
        <f t="shared" si="0"/>
        <v>0</v>
      </c>
      <c r="H7" s="414">
        <f t="shared" si="1"/>
        <v>70</v>
      </c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>
        <f t="shared" ref="U7:U10" si="3">SUM(I7:T7)</f>
        <v>0</v>
      </c>
    </row>
    <row r="8" spans="1:21" ht="14.45" customHeight="1" x14ac:dyDescent="0.25">
      <c r="A8" s="6" t="s">
        <v>256</v>
      </c>
      <c r="B8" s="6" t="s">
        <v>60</v>
      </c>
      <c r="C8" s="9">
        <v>1</v>
      </c>
      <c r="D8" s="414">
        <v>840</v>
      </c>
      <c r="E8" s="483">
        <v>1</v>
      </c>
      <c r="F8" s="414">
        <v>430</v>
      </c>
      <c r="G8" s="483">
        <f t="shared" si="0"/>
        <v>0</v>
      </c>
      <c r="H8" s="414">
        <f t="shared" si="1"/>
        <v>-410</v>
      </c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>
        <f t="shared" si="3"/>
        <v>0</v>
      </c>
    </row>
    <row r="9" spans="1:21" ht="14.45" customHeight="1" x14ac:dyDescent="0.25">
      <c r="A9" s="6" t="s">
        <v>677</v>
      </c>
      <c r="B9" s="6" t="s">
        <v>115</v>
      </c>
      <c r="C9" s="9">
        <v>5</v>
      </c>
      <c r="D9" s="414">
        <v>7362.5</v>
      </c>
      <c r="E9" s="483">
        <v>5</v>
      </c>
      <c r="F9" s="414">
        <v>7576</v>
      </c>
      <c r="G9" s="483">
        <f t="shared" si="0"/>
        <v>0</v>
      </c>
      <c r="H9" s="414">
        <f t="shared" si="1"/>
        <v>213.5</v>
      </c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>
        <f t="shared" si="3"/>
        <v>0</v>
      </c>
    </row>
    <row r="10" spans="1:21" ht="15" customHeight="1" x14ac:dyDescent="0.25">
      <c r="A10" s="6" t="s">
        <v>678</v>
      </c>
      <c r="B10" s="6" t="s">
        <v>115</v>
      </c>
      <c r="C10" s="9">
        <v>5</v>
      </c>
      <c r="D10" s="414">
        <v>7362.5</v>
      </c>
      <c r="E10" s="483">
        <v>5</v>
      </c>
      <c r="F10" s="414">
        <v>7576</v>
      </c>
      <c r="G10" s="483">
        <f t="shared" si="0"/>
        <v>0</v>
      </c>
      <c r="H10" s="414">
        <f t="shared" si="1"/>
        <v>213.5</v>
      </c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>
        <f t="shared" si="3"/>
        <v>0</v>
      </c>
    </row>
    <row r="11" spans="1:21" ht="14.45" customHeight="1" x14ac:dyDescent="0.25">
      <c r="A11" s="6" t="s">
        <v>679</v>
      </c>
      <c r="B11" s="6" t="s">
        <v>115</v>
      </c>
      <c r="C11" s="9">
        <v>5</v>
      </c>
      <c r="D11" s="414">
        <v>7362.5</v>
      </c>
      <c r="E11" s="483">
        <v>5</v>
      </c>
      <c r="F11" s="414">
        <v>7576</v>
      </c>
      <c r="G11" s="483">
        <f t="shared" ref="G11:G20" si="4">E11-C11</f>
        <v>0</v>
      </c>
      <c r="H11" s="414">
        <f t="shared" ref="H11:H20" si="5">F11-D11</f>
        <v>213.5</v>
      </c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>
        <f t="shared" ref="U11:U16" si="6">SUM(I11:T11)</f>
        <v>0</v>
      </c>
    </row>
    <row r="12" spans="1:21" ht="14.45" customHeight="1" x14ac:dyDescent="0.25">
      <c r="A12" s="6" t="s">
        <v>211</v>
      </c>
      <c r="B12" s="6" t="s">
        <v>1293</v>
      </c>
      <c r="C12" s="9">
        <v>7</v>
      </c>
      <c r="D12" s="414">
        <v>5953.5</v>
      </c>
      <c r="E12" s="483">
        <v>7</v>
      </c>
      <c r="F12" s="414">
        <v>7583</v>
      </c>
      <c r="G12" s="483">
        <f t="shared" si="4"/>
        <v>0</v>
      </c>
      <c r="H12" s="414">
        <f t="shared" si="5"/>
        <v>1629.5</v>
      </c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>
        <f t="shared" si="6"/>
        <v>0</v>
      </c>
    </row>
    <row r="13" spans="1:21" ht="14.45" customHeight="1" x14ac:dyDescent="0.25">
      <c r="A13" s="6" t="s">
        <v>212</v>
      </c>
      <c r="B13" s="6" t="s">
        <v>1293</v>
      </c>
      <c r="C13" s="9">
        <v>7</v>
      </c>
      <c r="D13" s="414">
        <v>3402</v>
      </c>
      <c r="E13" s="483">
        <v>7</v>
      </c>
      <c r="F13" s="414">
        <v>5733</v>
      </c>
      <c r="G13" s="483">
        <f t="shared" si="4"/>
        <v>0</v>
      </c>
      <c r="H13" s="414">
        <f t="shared" si="5"/>
        <v>2331</v>
      </c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>
        <f t="shared" si="6"/>
        <v>0</v>
      </c>
    </row>
    <row r="14" spans="1:21" ht="14.45" customHeight="1" x14ac:dyDescent="0.25">
      <c r="A14" s="6" t="s">
        <v>214</v>
      </c>
      <c r="B14" s="6" t="s">
        <v>1293</v>
      </c>
      <c r="C14" s="9">
        <v>7</v>
      </c>
      <c r="D14" s="414">
        <v>6804</v>
      </c>
      <c r="E14" s="483">
        <v>7</v>
      </c>
      <c r="F14" s="414">
        <v>8366</v>
      </c>
      <c r="G14" s="483">
        <f t="shared" si="4"/>
        <v>0</v>
      </c>
      <c r="H14" s="414">
        <f t="shared" si="5"/>
        <v>1562</v>
      </c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>
        <f t="shared" si="6"/>
        <v>0</v>
      </c>
    </row>
    <row r="15" spans="1:21" ht="14.45" customHeight="1" x14ac:dyDescent="0.25">
      <c r="A15" s="6" t="s">
        <v>195</v>
      </c>
      <c r="B15" s="6" t="s">
        <v>1293</v>
      </c>
      <c r="C15" s="9">
        <v>6</v>
      </c>
      <c r="D15" s="414">
        <v>10138</v>
      </c>
      <c r="E15" s="483">
        <v>6</v>
      </c>
      <c r="F15" s="414">
        <v>10368</v>
      </c>
      <c r="G15" s="483">
        <f t="shared" si="4"/>
        <v>0</v>
      </c>
      <c r="H15" s="414">
        <f t="shared" si="5"/>
        <v>230</v>
      </c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>
        <f t="shared" si="6"/>
        <v>0</v>
      </c>
    </row>
    <row r="16" spans="1:21" ht="14.45" customHeight="1" x14ac:dyDescent="0.25">
      <c r="A16" s="6" t="s">
        <v>153</v>
      </c>
      <c r="B16" s="6" t="s">
        <v>60</v>
      </c>
      <c r="C16" s="9">
        <v>3</v>
      </c>
      <c r="D16" s="414">
        <v>3570</v>
      </c>
      <c r="E16" s="483">
        <v>3</v>
      </c>
      <c r="F16" s="414">
        <v>3135</v>
      </c>
      <c r="G16" s="483">
        <f t="shared" si="4"/>
        <v>0</v>
      </c>
      <c r="H16" s="414">
        <f t="shared" si="5"/>
        <v>-435</v>
      </c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>
        <f t="shared" si="6"/>
        <v>0</v>
      </c>
    </row>
    <row r="17" spans="1:21" ht="14.45" customHeight="1" x14ac:dyDescent="0.25">
      <c r="A17" s="6" t="s">
        <v>189</v>
      </c>
      <c r="B17" s="6" t="s">
        <v>1293</v>
      </c>
      <c r="C17" s="9">
        <v>7</v>
      </c>
      <c r="D17" s="414">
        <v>10962</v>
      </c>
      <c r="E17" s="483">
        <v>7</v>
      </c>
      <c r="F17" s="414">
        <v>8946</v>
      </c>
      <c r="G17" s="483">
        <f t="shared" si="4"/>
        <v>0</v>
      </c>
      <c r="H17" s="414">
        <f t="shared" si="5"/>
        <v>-2016</v>
      </c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>
        <f t="shared" ref="U17:U20" si="7">SUM(I17:T17)</f>
        <v>0</v>
      </c>
    </row>
    <row r="18" spans="1:21" ht="14.45" customHeight="1" x14ac:dyDescent="0.25">
      <c r="A18" s="6" t="s">
        <v>154</v>
      </c>
      <c r="B18" s="6" t="s">
        <v>1293</v>
      </c>
      <c r="C18" s="9">
        <v>7</v>
      </c>
      <c r="D18" s="414">
        <v>10516</v>
      </c>
      <c r="E18" s="483">
        <v>7</v>
      </c>
      <c r="F18" s="414">
        <v>10755</v>
      </c>
      <c r="G18" s="483">
        <f t="shared" si="4"/>
        <v>0</v>
      </c>
      <c r="H18" s="414">
        <f t="shared" si="5"/>
        <v>239</v>
      </c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>
        <f t="shared" si="7"/>
        <v>0</v>
      </c>
    </row>
    <row r="19" spans="1:21" ht="14.45" customHeight="1" x14ac:dyDescent="0.25">
      <c r="A19" s="6" t="s">
        <v>270</v>
      </c>
      <c r="B19" s="6" t="s">
        <v>1293</v>
      </c>
      <c r="C19" s="9">
        <v>2</v>
      </c>
      <c r="D19" s="414">
        <v>3255</v>
      </c>
      <c r="E19" s="483">
        <v>2</v>
      </c>
      <c r="F19" s="414">
        <v>2810</v>
      </c>
      <c r="G19" s="483">
        <f t="shared" si="4"/>
        <v>0</v>
      </c>
      <c r="H19" s="414">
        <f t="shared" si="5"/>
        <v>-445</v>
      </c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>
        <f t="shared" si="7"/>
        <v>0</v>
      </c>
    </row>
    <row r="20" spans="1:21" ht="15" customHeight="1" x14ac:dyDescent="0.25">
      <c r="A20" s="6" t="s">
        <v>206</v>
      </c>
      <c r="B20" s="6" t="s">
        <v>1293</v>
      </c>
      <c r="C20" s="9">
        <v>1</v>
      </c>
      <c r="D20" s="414">
        <v>420</v>
      </c>
      <c r="E20" s="483">
        <v>1</v>
      </c>
      <c r="F20" s="414">
        <v>430</v>
      </c>
      <c r="G20" s="483">
        <f t="shared" si="4"/>
        <v>0</v>
      </c>
      <c r="H20" s="414">
        <f t="shared" si="5"/>
        <v>10</v>
      </c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>
        <f t="shared" si="7"/>
        <v>0</v>
      </c>
    </row>
    <row r="21" spans="1:21" ht="14.45" customHeight="1" x14ac:dyDescent="0.25">
      <c r="A21" s="6" t="s">
        <v>43</v>
      </c>
      <c r="B21" s="6" t="s">
        <v>60</v>
      </c>
      <c r="C21" s="9">
        <v>8</v>
      </c>
      <c r="D21" s="414">
        <v>10489.5</v>
      </c>
      <c r="E21" s="24">
        <v>8</v>
      </c>
      <c r="F21" s="414">
        <v>9914</v>
      </c>
      <c r="G21" s="24">
        <f t="shared" ref="G21:H26" si="8">E21-C21</f>
        <v>0</v>
      </c>
      <c r="H21" s="414">
        <f t="shared" si="8"/>
        <v>-575.5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f t="shared" ref="U21:U26" si="9">SUM(I21:T21)</f>
        <v>0</v>
      </c>
    </row>
    <row r="22" spans="1:21" ht="14.45" customHeight="1" x14ac:dyDescent="0.25">
      <c r="A22" s="9"/>
      <c r="B22" s="6"/>
      <c r="C22" s="6"/>
      <c r="D22" s="414"/>
      <c r="E22" s="24"/>
      <c r="F22" s="414"/>
      <c r="G22" s="24">
        <f t="shared" si="8"/>
        <v>0</v>
      </c>
      <c r="H22" s="414">
        <f t="shared" si="8"/>
        <v>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 t="shared" si="9"/>
        <v>0</v>
      </c>
    </row>
    <row r="23" spans="1:21" ht="14.45" customHeight="1" x14ac:dyDescent="0.25">
      <c r="A23" s="24"/>
      <c r="B23" s="9"/>
      <c r="C23" s="9"/>
      <c r="D23" s="414"/>
      <c r="E23" s="24"/>
      <c r="F23" s="414"/>
      <c r="G23" s="24">
        <f t="shared" si="8"/>
        <v>0</v>
      </c>
      <c r="H23" s="414">
        <f t="shared" si="8"/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 t="shared" si="9"/>
        <v>0</v>
      </c>
    </row>
    <row r="24" spans="1:21" ht="14.45" customHeight="1" x14ac:dyDescent="0.25">
      <c r="A24" s="9"/>
      <c r="B24" s="9"/>
      <c r="C24" s="9"/>
      <c r="D24" s="414"/>
      <c r="E24" s="24"/>
      <c r="F24" s="414"/>
      <c r="G24" s="24">
        <f t="shared" si="8"/>
        <v>0</v>
      </c>
      <c r="H24" s="414">
        <f t="shared" si="8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 t="shared" si="9"/>
        <v>0</v>
      </c>
    </row>
    <row r="25" spans="1:21" ht="14.45" customHeight="1" x14ac:dyDescent="0.25">
      <c r="A25" s="6"/>
      <c r="B25" s="6"/>
      <c r="C25" s="6"/>
      <c r="D25" s="414"/>
      <c r="E25" s="24"/>
      <c r="F25" s="414"/>
      <c r="G25" s="24">
        <f t="shared" si="8"/>
        <v>0</v>
      </c>
      <c r="H25" s="414">
        <f t="shared" si="8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f t="shared" si="9"/>
        <v>0</v>
      </c>
    </row>
    <row r="26" spans="1:21" ht="14.45" customHeight="1" x14ac:dyDescent="0.25">
      <c r="A26" s="6"/>
      <c r="B26" s="6"/>
      <c r="C26" s="6"/>
      <c r="D26" s="414"/>
      <c r="E26" s="24"/>
      <c r="F26" s="414"/>
      <c r="G26" s="24">
        <f t="shared" si="8"/>
        <v>0</v>
      </c>
      <c r="H26" s="414">
        <f t="shared" si="8"/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f t="shared" si="9"/>
        <v>0</v>
      </c>
    </row>
    <row r="27" spans="1:21" ht="14.45" customHeight="1" x14ac:dyDescent="0.25">
      <c r="A27" s="24"/>
      <c r="B27" s="24"/>
      <c r="C27" s="24"/>
      <c r="D27" s="414"/>
      <c r="E27" s="24"/>
      <c r="F27" s="414"/>
      <c r="G27" s="24">
        <f t="shared" ref="G27:H30" si="10">E27-C27</f>
        <v>0</v>
      </c>
      <c r="H27" s="414">
        <f t="shared" si="10"/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f t="shared" ref="U27:U30" si="11">SUM(I27:T27)</f>
        <v>0</v>
      </c>
    </row>
    <row r="28" spans="1:21" ht="14.45" customHeight="1" x14ac:dyDescent="0.25">
      <c r="A28" s="24"/>
      <c r="B28" s="24"/>
      <c r="C28" s="24"/>
      <c r="D28" s="414"/>
      <c r="E28" s="24"/>
      <c r="F28" s="414"/>
      <c r="G28" s="24">
        <f t="shared" si="10"/>
        <v>0</v>
      </c>
      <c r="H28" s="414">
        <f t="shared" si="10"/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f t="shared" si="11"/>
        <v>0</v>
      </c>
    </row>
    <row r="29" spans="1:21" ht="14.45" customHeight="1" x14ac:dyDescent="0.25">
      <c r="A29" s="24"/>
      <c r="B29" s="24"/>
      <c r="C29" s="24"/>
      <c r="D29" s="414"/>
      <c r="E29" s="24"/>
      <c r="F29" s="414"/>
      <c r="G29" s="24">
        <f t="shared" si="10"/>
        <v>0</v>
      </c>
      <c r="H29" s="414">
        <f t="shared" si="10"/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>
        <f t="shared" si="11"/>
        <v>0</v>
      </c>
    </row>
    <row r="30" spans="1:21" ht="15" customHeight="1" x14ac:dyDescent="0.25">
      <c r="A30" s="24"/>
      <c r="B30" s="24"/>
      <c r="C30" s="24"/>
      <c r="D30" s="414"/>
      <c r="E30" s="24"/>
      <c r="F30" s="414"/>
      <c r="G30" s="24">
        <f t="shared" si="10"/>
        <v>0</v>
      </c>
      <c r="H30" s="414">
        <f t="shared" si="10"/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f t="shared" si="11"/>
        <v>0</v>
      </c>
    </row>
    <row r="31" spans="1:21" ht="15" customHeight="1" x14ac:dyDescent="0.25">
      <c r="A31" s="443" t="s">
        <v>1221</v>
      </c>
      <c r="B31" s="444"/>
      <c r="C31" s="474">
        <f t="shared" ref="C31:H31" si="12">SUM(C5:C30)</f>
        <v>84</v>
      </c>
      <c r="D31" s="511">
        <f t="shared" si="12"/>
        <v>112047</v>
      </c>
      <c r="E31" s="474">
        <f t="shared" si="12"/>
        <v>84</v>
      </c>
      <c r="F31" s="511">
        <f t="shared" si="12"/>
        <v>110852</v>
      </c>
      <c r="G31" s="512">
        <f t="shared" si="12"/>
        <v>0</v>
      </c>
      <c r="H31" s="513">
        <f t="shared" si="12"/>
        <v>-1195</v>
      </c>
      <c r="I31" s="447">
        <f t="shared" ref="I31:U31" si="13">SUM(I21:I30)</f>
        <v>0</v>
      </c>
      <c r="J31" s="447">
        <f t="shared" si="13"/>
        <v>0</v>
      </c>
      <c r="K31" s="447">
        <f t="shared" si="13"/>
        <v>0</v>
      </c>
      <c r="L31" s="447">
        <f t="shared" si="13"/>
        <v>0</v>
      </c>
      <c r="M31" s="447">
        <f t="shared" si="13"/>
        <v>0</v>
      </c>
      <c r="N31" s="447">
        <f t="shared" si="13"/>
        <v>0</v>
      </c>
      <c r="O31" s="447">
        <f t="shared" si="13"/>
        <v>0</v>
      </c>
      <c r="P31" s="447">
        <f t="shared" si="13"/>
        <v>0</v>
      </c>
      <c r="Q31" s="447">
        <f t="shared" si="13"/>
        <v>0</v>
      </c>
      <c r="R31" s="447">
        <f t="shared" si="13"/>
        <v>0</v>
      </c>
      <c r="S31" s="447">
        <f t="shared" si="13"/>
        <v>0</v>
      </c>
      <c r="T31" s="447">
        <f t="shared" si="13"/>
        <v>0</v>
      </c>
      <c r="U31" s="447">
        <f t="shared" si="13"/>
        <v>0</v>
      </c>
    </row>
    <row r="33" spans="1:21" x14ac:dyDescent="0.25">
      <c r="A33" s="739" t="s">
        <v>1227</v>
      </c>
      <c r="B33" s="739"/>
    </row>
    <row r="34" spans="1:21" ht="30" x14ac:dyDescent="0.25">
      <c r="A34" s="449" t="s">
        <v>1</v>
      </c>
      <c r="B34" s="449" t="s">
        <v>59</v>
      </c>
      <c r="C34" s="425" t="s">
        <v>1222</v>
      </c>
      <c r="D34" s="425" t="s">
        <v>1223</v>
      </c>
      <c r="E34" s="425" t="s">
        <v>392</v>
      </c>
      <c r="F34" s="426" t="s">
        <v>2</v>
      </c>
      <c r="G34" s="432" t="s">
        <v>1225</v>
      </c>
      <c r="H34" s="427" t="s">
        <v>1224</v>
      </c>
      <c r="I34" s="424" t="s">
        <v>681</v>
      </c>
      <c r="J34" s="424" t="s">
        <v>77</v>
      </c>
      <c r="K34" s="424" t="s">
        <v>682</v>
      </c>
      <c r="L34" s="424" t="s">
        <v>683</v>
      </c>
      <c r="M34" s="424" t="s">
        <v>87</v>
      </c>
      <c r="N34" s="424" t="s">
        <v>684</v>
      </c>
      <c r="O34" s="424" t="s">
        <v>685</v>
      </c>
      <c r="P34" s="424" t="s">
        <v>690</v>
      </c>
      <c r="Q34" s="424" t="s">
        <v>686</v>
      </c>
      <c r="R34" s="424" t="s">
        <v>687</v>
      </c>
      <c r="S34" s="424" t="s">
        <v>688</v>
      </c>
      <c r="T34" s="424" t="s">
        <v>689</v>
      </c>
      <c r="U34" s="424" t="s">
        <v>1238</v>
      </c>
    </row>
    <row r="35" spans="1:21" ht="15" customHeight="1" x14ac:dyDescent="0.25">
      <c r="A35" s="517" t="s">
        <v>1403</v>
      </c>
      <c r="B35" s="24" t="s">
        <v>1293</v>
      </c>
      <c r="C35" s="430">
        <v>42255</v>
      </c>
      <c r="D35" s="431">
        <v>42275</v>
      </c>
      <c r="E35" s="421">
        <v>20</v>
      </c>
      <c r="F35" s="431">
        <v>42309</v>
      </c>
      <c r="G35" s="421">
        <v>11</v>
      </c>
      <c r="H35" s="28">
        <v>19140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/>
      <c r="U35" s="24">
        <f t="shared" ref="U35:U40" si="14">SUM(I35:T35)</f>
        <v>11</v>
      </c>
    </row>
    <row r="36" spans="1:21" ht="15" customHeight="1" x14ac:dyDescent="0.25">
      <c r="A36" s="518" t="s">
        <v>1412</v>
      </c>
      <c r="B36" s="491" t="s">
        <v>115</v>
      </c>
      <c r="C36" s="492">
        <v>42145</v>
      </c>
      <c r="D36" s="493">
        <v>42290</v>
      </c>
      <c r="E36" s="494">
        <v>160</v>
      </c>
      <c r="F36" s="493">
        <v>42309</v>
      </c>
      <c r="G36" s="494">
        <v>1</v>
      </c>
      <c r="H36" s="495">
        <v>1595</v>
      </c>
      <c r="I36" s="491">
        <v>1</v>
      </c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>
        <f>SUM(I36:T36)</f>
        <v>1</v>
      </c>
    </row>
    <row r="37" spans="1:21" ht="15" customHeight="1" x14ac:dyDescent="0.25">
      <c r="A37" s="517" t="s">
        <v>1430</v>
      </c>
      <c r="B37" s="483" t="s">
        <v>60</v>
      </c>
      <c r="C37" s="487">
        <v>41957</v>
      </c>
      <c r="D37" s="488">
        <v>42325</v>
      </c>
      <c r="E37" s="486">
        <v>368</v>
      </c>
      <c r="F37" s="488">
        <v>42311</v>
      </c>
      <c r="G37" s="486">
        <v>2</v>
      </c>
      <c r="H37" s="485">
        <f>3031+2200</f>
        <v>5231</v>
      </c>
      <c r="I37" s="483">
        <v>1</v>
      </c>
      <c r="J37" s="483"/>
      <c r="K37" s="483"/>
      <c r="L37" s="483"/>
      <c r="M37" s="483">
        <v>1</v>
      </c>
      <c r="N37" s="483"/>
      <c r="O37" s="483"/>
      <c r="P37" s="483"/>
      <c r="Q37" s="483"/>
      <c r="R37" s="483"/>
      <c r="S37" s="483"/>
      <c r="T37" s="483"/>
      <c r="U37" s="483"/>
    </row>
    <row r="38" spans="1:21" ht="15" customHeight="1" x14ac:dyDescent="0.25">
      <c r="A38" s="517" t="s">
        <v>1431</v>
      </c>
      <c r="B38" s="483" t="s">
        <v>60</v>
      </c>
      <c r="C38" s="487">
        <v>41957</v>
      </c>
      <c r="D38" s="488">
        <v>42325</v>
      </c>
      <c r="E38" s="486">
        <v>368</v>
      </c>
      <c r="F38" s="488">
        <v>42311</v>
      </c>
      <c r="G38" s="486">
        <v>2</v>
      </c>
      <c r="H38" s="485">
        <v>5231</v>
      </c>
      <c r="I38" s="483">
        <v>1</v>
      </c>
      <c r="J38" s="483"/>
      <c r="K38" s="483"/>
      <c r="L38" s="483"/>
      <c r="M38" s="483">
        <v>1</v>
      </c>
      <c r="N38" s="483"/>
      <c r="O38" s="483"/>
      <c r="P38" s="483"/>
      <c r="Q38" s="483"/>
      <c r="R38" s="483"/>
      <c r="S38" s="483"/>
      <c r="T38" s="483"/>
      <c r="U38" s="483"/>
    </row>
    <row r="39" spans="1:21" ht="15" customHeight="1" x14ac:dyDescent="0.25">
      <c r="A39" s="517" t="s">
        <v>1441</v>
      </c>
      <c r="B39" s="24" t="s">
        <v>1293</v>
      </c>
      <c r="C39" s="430">
        <v>42255</v>
      </c>
      <c r="D39" s="431">
        <v>42337</v>
      </c>
      <c r="E39" s="421">
        <v>81</v>
      </c>
      <c r="F39" s="431">
        <v>42338</v>
      </c>
      <c r="G39" s="421">
        <v>5</v>
      </c>
      <c r="H39" s="28">
        <v>7840</v>
      </c>
      <c r="I39" s="24">
        <v>1</v>
      </c>
      <c r="J39" s="24"/>
      <c r="K39" s="24"/>
      <c r="L39" s="24"/>
      <c r="M39" s="24">
        <v>1</v>
      </c>
      <c r="N39" s="24"/>
      <c r="O39" s="24"/>
      <c r="P39" s="24"/>
      <c r="Q39" s="24"/>
      <c r="R39" s="24"/>
      <c r="S39" s="24"/>
      <c r="T39" s="24">
        <v>3</v>
      </c>
      <c r="U39" s="24">
        <f t="shared" si="14"/>
        <v>5</v>
      </c>
    </row>
    <row r="40" spans="1:21" ht="15" customHeight="1" x14ac:dyDescent="0.25">
      <c r="A40" s="27"/>
      <c r="B40" s="24"/>
      <c r="C40" s="430"/>
      <c r="D40" s="431"/>
      <c r="E40" s="421"/>
      <c r="F40" s="431"/>
      <c r="G40" s="421"/>
      <c r="H40" s="2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 t="shared" si="14"/>
        <v>0</v>
      </c>
    </row>
    <row r="41" spans="1:21" ht="15" customHeight="1" x14ac:dyDescent="0.25">
      <c r="A41" s="443" t="s">
        <v>1226</v>
      </c>
      <c r="B41" s="444"/>
      <c r="C41" s="445"/>
      <c r="D41" s="446"/>
      <c r="E41" s="447"/>
      <c r="F41" s="446"/>
      <c r="G41" s="447">
        <f t="shared" ref="G41:U41" si="15">SUM(G35:G40)</f>
        <v>21</v>
      </c>
      <c r="H41" s="448">
        <f t="shared" si="15"/>
        <v>39037</v>
      </c>
      <c r="I41" s="447">
        <f t="shared" si="15"/>
        <v>5</v>
      </c>
      <c r="J41" s="447">
        <f t="shared" si="15"/>
        <v>1</v>
      </c>
      <c r="K41" s="447">
        <f t="shared" si="15"/>
        <v>1</v>
      </c>
      <c r="L41" s="447">
        <f t="shared" si="15"/>
        <v>1</v>
      </c>
      <c r="M41" s="447">
        <f t="shared" si="15"/>
        <v>4</v>
      </c>
      <c r="N41" s="447">
        <f t="shared" si="15"/>
        <v>1</v>
      </c>
      <c r="O41" s="447">
        <f t="shared" si="15"/>
        <v>1</v>
      </c>
      <c r="P41" s="447">
        <f t="shared" si="15"/>
        <v>1</v>
      </c>
      <c r="Q41" s="447">
        <f t="shared" si="15"/>
        <v>1</v>
      </c>
      <c r="R41" s="447">
        <f t="shared" si="15"/>
        <v>1</v>
      </c>
      <c r="S41" s="447">
        <f t="shared" si="15"/>
        <v>1</v>
      </c>
      <c r="T41" s="447">
        <f t="shared" si="15"/>
        <v>3</v>
      </c>
      <c r="U41" s="447">
        <f t="shared" si="15"/>
        <v>17</v>
      </c>
    </row>
    <row r="42" spans="1:21" ht="15" customHeight="1" x14ac:dyDescent="0.25">
      <c r="A42" s="428"/>
      <c r="B42" s="422"/>
      <c r="C42" s="422"/>
      <c r="D42" s="429"/>
      <c r="E42" s="422"/>
      <c r="F42" s="429"/>
      <c r="G42" s="433"/>
      <c r="H42" s="422"/>
    </row>
    <row r="43" spans="1:21" x14ac:dyDescent="0.25">
      <c r="A43" s="739" t="s">
        <v>1228</v>
      </c>
      <c r="B43" s="739"/>
      <c r="G43" s="420"/>
    </row>
    <row r="44" spans="1:21" ht="30" x14ac:dyDescent="0.25">
      <c r="A44" s="449" t="s">
        <v>1</v>
      </c>
      <c r="B44" s="449" t="s">
        <v>59</v>
      </c>
      <c r="C44" s="425" t="s">
        <v>1222</v>
      </c>
      <c r="D44" s="425" t="s">
        <v>1223</v>
      </c>
      <c r="E44" s="425" t="s">
        <v>392</v>
      </c>
      <c r="F44" s="426" t="s">
        <v>2</v>
      </c>
      <c r="G44" s="432" t="s">
        <v>1225</v>
      </c>
      <c r="H44" s="427" t="s">
        <v>1224</v>
      </c>
      <c r="I44" s="424" t="s">
        <v>681</v>
      </c>
      <c r="J44" s="424" t="s">
        <v>77</v>
      </c>
      <c r="K44" s="424" t="s">
        <v>682</v>
      </c>
      <c r="L44" s="424" t="s">
        <v>683</v>
      </c>
      <c r="M44" s="424" t="s">
        <v>87</v>
      </c>
      <c r="N44" s="424" t="s">
        <v>684</v>
      </c>
      <c r="O44" s="424" t="s">
        <v>685</v>
      </c>
      <c r="P44" s="424" t="s">
        <v>690</v>
      </c>
      <c r="Q44" s="424" t="s">
        <v>686</v>
      </c>
      <c r="R44" s="424" t="s">
        <v>687</v>
      </c>
      <c r="S44" s="424" t="s">
        <v>688</v>
      </c>
      <c r="T44" s="424" t="s">
        <v>689</v>
      </c>
      <c r="U44" s="424" t="s">
        <v>1238</v>
      </c>
    </row>
    <row r="45" spans="1:21" ht="15" customHeight="1" x14ac:dyDescent="0.25">
      <c r="A45" s="517" t="s">
        <v>1424</v>
      </c>
      <c r="B45" s="24" t="s">
        <v>115</v>
      </c>
      <c r="C45" s="430">
        <v>42194</v>
      </c>
      <c r="D45" s="431">
        <v>42300</v>
      </c>
      <c r="E45" s="421">
        <v>50</v>
      </c>
      <c r="F45" s="431">
        <v>42309</v>
      </c>
      <c r="G45" s="421">
        <v>1</v>
      </c>
      <c r="H45" s="28">
        <v>1550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>
        <v>1</v>
      </c>
      <c r="U45" s="24">
        <f t="shared" ref="U45:U53" si="16">SUM(I45:T45)</f>
        <v>1</v>
      </c>
    </row>
    <row r="46" spans="1:21" ht="15" customHeight="1" x14ac:dyDescent="0.25">
      <c r="A46" s="517" t="s">
        <v>1426</v>
      </c>
      <c r="B46" s="24" t="s">
        <v>115</v>
      </c>
      <c r="C46" s="430">
        <v>42307</v>
      </c>
      <c r="D46" s="431">
        <v>42310</v>
      </c>
      <c r="E46" s="421">
        <v>3</v>
      </c>
      <c r="F46" s="431">
        <v>42311</v>
      </c>
      <c r="G46" s="421">
        <v>0</v>
      </c>
      <c r="H46" s="28">
        <v>2200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>
        <f t="shared" si="16"/>
        <v>0</v>
      </c>
    </row>
    <row r="47" spans="1:21" ht="15" customHeight="1" x14ac:dyDescent="0.25">
      <c r="A47" s="517" t="s">
        <v>1433</v>
      </c>
      <c r="B47" s="24" t="s">
        <v>60</v>
      </c>
      <c r="C47" s="430">
        <v>42304</v>
      </c>
      <c r="D47" s="431">
        <v>42325</v>
      </c>
      <c r="E47" s="421">
        <v>20</v>
      </c>
      <c r="F47" s="431">
        <v>42325</v>
      </c>
      <c r="G47" s="421">
        <v>0</v>
      </c>
      <c r="H47" s="28">
        <v>2200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f t="shared" si="16"/>
        <v>0</v>
      </c>
    </row>
    <row r="48" spans="1:21" ht="15" customHeight="1" x14ac:dyDescent="0.25">
      <c r="A48" s="517" t="s">
        <v>1453</v>
      </c>
      <c r="B48" s="24" t="s">
        <v>115</v>
      </c>
      <c r="C48" s="430">
        <v>42256</v>
      </c>
      <c r="D48" s="431">
        <v>42341</v>
      </c>
      <c r="E48" s="421">
        <v>96</v>
      </c>
      <c r="F48" s="431">
        <v>42309</v>
      </c>
      <c r="G48" s="421">
        <v>1</v>
      </c>
      <c r="H48" s="28">
        <v>1890</v>
      </c>
      <c r="I48" s="24"/>
      <c r="J48" s="24">
        <v>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f t="shared" si="16"/>
        <v>1</v>
      </c>
    </row>
    <row r="49" spans="1:21" ht="15" customHeight="1" x14ac:dyDescent="0.25">
      <c r="A49" s="27"/>
      <c r="B49" s="24"/>
      <c r="C49" s="430"/>
      <c r="D49" s="431"/>
      <c r="E49" s="421"/>
      <c r="F49" s="431"/>
      <c r="G49" s="421"/>
      <c r="H49" s="28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>
        <f t="shared" si="16"/>
        <v>0</v>
      </c>
    </row>
    <row r="50" spans="1:21" ht="15" customHeight="1" x14ac:dyDescent="0.25">
      <c r="A50" s="27"/>
      <c r="B50" s="24"/>
      <c r="C50" s="430"/>
      <c r="D50" s="431"/>
      <c r="E50" s="421"/>
      <c r="F50" s="431"/>
      <c r="G50" s="421"/>
      <c r="H50" s="28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>
        <f t="shared" si="16"/>
        <v>0</v>
      </c>
    </row>
    <row r="51" spans="1:21" ht="15" customHeight="1" x14ac:dyDescent="0.25">
      <c r="A51" s="27"/>
      <c r="B51" s="24"/>
      <c r="C51" s="430"/>
      <c r="D51" s="431"/>
      <c r="E51" s="421"/>
      <c r="F51" s="431"/>
      <c r="G51" s="421"/>
      <c r="H51" s="28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f t="shared" si="16"/>
        <v>0</v>
      </c>
    </row>
    <row r="52" spans="1:21" ht="15" customHeight="1" x14ac:dyDescent="0.25">
      <c r="A52" s="27"/>
      <c r="B52" s="24"/>
      <c r="C52" s="430"/>
      <c r="D52" s="431"/>
      <c r="E52" s="421"/>
      <c r="F52" s="431"/>
      <c r="G52" s="421"/>
      <c r="H52" s="28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>
        <f t="shared" si="16"/>
        <v>0</v>
      </c>
    </row>
    <row r="53" spans="1:21" ht="15" customHeight="1" x14ac:dyDescent="0.25">
      <c r="A53" s="27"/>
      <c r="B53" s="24"/>
      <c r="C53" s="430"/>
      <c r="D53" s="431"/>
      <c r="E53" s="421"/>
      <c r="F53" s="431"/>
      <c r="G53" s="421"/>
      <c r="H53" s="28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>
        <f t="shared" si="16"/>
        <v>0</v>
      </c>
    </row>
    <row r="54" spans="1:21" ht="15" customHeight="1" x14ac:dyDescent="0.25">
      <c r="A54" s="443" t="s">
        <v>450</v>
      </c>
      <c r="B54" s="444"/>
      <c r="C54" s="445"/>
      <c r="D54" s="446"/>
      <c r="E54" s="447"/>
      <c r="F54" s="446"/>
      <c r="G54" s="447">
        <f>SUM(G45:G53)</f>
        <v>2</v>
      </c>
      <c r="H54" s="448">
        <f>SUM(H45:H53)</f>
        <v>7840</v>
      </c>
      <c r="I54" s="447">
        <f t="shared" ref="I54:U54" si="17">SUM(I45:I53)</f>
        <v>0</v>
      </c>
      <c r="J54" s="447">
        <f t="shared" si="17"/>
        <v>1</v>
      </c>
      <c r="K54" s="447">
        <f t="shared" si="17"/>
        <v>0</v>
      </c>
      <c r="L54" s="447">
        <f t="shared" si="17"/>
        <v>0</v>
      </c>
      <c r="M54" s="447">
        <f t="shared" si="17"/>
        <v>0</v>
      </c>
      <c r="N54" s="447">
        <f t="shared" si="17"/>
        <v>0</v>
      </c>
      <c r="O54" s="447">
        <f t="shared" si="17"/>
        <v>0</v>
      </c>
      <c r="P54" s="447">
        <f t="shared" si="17"/>
        <v>0</v>
      </c>
      <c r="Q54" s="447">
        <f t="shared" si="17"/>
        <v>0</v>
      </c>
      <c r="R54" s="447">
        <f t="shared" si="17"/>
        <v>0</v>
      </c>
      <c r="S54" s="447">
        <f t="shared" si="17"/>
        <v>0</v>
      </c>
      <c r="T54" s="447">
        <f t="shared" si="17"/>
        <v>1</v>
      </c>
      <c r="U54" s="447">
        <f t="shared" si="17"/>
        <v>2</v>
      </c>
    </row>
    <row r="56" spans="1:21" x14ac:dyDescent="0.25">
      <c r="A56" s="739" t="s">
        <v>1229</v>
      </c>
      <c r="B56" s="739"/>
    </row>
    <row r="57" spans="1:21" ht="30" x14ac:dyDescent="0.25">
      <c r="A57" s="449" t="s">
        <v>1</v>
      </c>
      <c r="B57" s="449" t="s">
        <v>59</v>
      </c>
      <c r="C57" s="425"/>
      <c r="D57" s="425"/>
      <c r="E57" s="425"/>
      <c r="F57" s="426"/>
      <c r="G57" s="432" t="s">
        <v>1225</v>
      </c>
      <c r="H57" s="427" t="s">
        <v>1224</v>
      </c>
      <c r="I57" s="424" t="s">
        <v>681</v>
      </c>
      <c r="J57" s="424" t="s">
        <v>77</v>
      </c>
      <c r="K57" s="424" t="s">
        <v>682</v>
      </c>
      <c r="L57" s="424" t="s">
        <v>683</v>
      </c>
      <c r="M57" s="424" t="s">
        <v>87</v>
      </c>
      <c r="N57" s="424" t="s">
        <v>684</v>
      </c>
      <c r="O57" s="424" t="s">
        <v>685</v>
      </c>
      <c r="P57" s="424" t="s">
        <v>690</v>
      </c>
      <c r="Q57" s="424" t="s">
        <v>686</v>
      </c>
      <c r="R57" s="424" t="s">
        <v>687</v>
      </c>
      <c r="S57" s="424" t="s">
        <v>688</v>
      </c>
      <c r="T57" s="424" t="s">
        <v>689</v>
      </c>
      <c r="U57" s="424" t="s">
        <v>1238</v>
      </c>
    </row>
    <row r="58" spans="1:21" ht="15" customHeight="1" x14ac:dyDescent="0.25">
      <c r="A58" s="517" t="s">
        <v>1440</v>
      </c>
      <c r="B58" s="24" t="s">
        <v>60</v>
      </c>
      <c r="C58" s="430">
        <v>42328</v>
      </c>
      <c r="D58" s="431">
        <v>42331</v>
      </c>
      <c r="E58" s="421">
        <v>3</v>
      </c>
      <c r="F58" s="431">
        <v>42278</v>
      </c>
      <c r="G58" s="421">
        <v>12</v>
      </c>
      <c r="H58" s="28">
        <v>-7001</v>
      </c>
      <c r="I58" s="24">
        <v>1</v>
      </c>
      <c r="J58" s="24">
        <v>2</v>
      </c>
      <c r="K58" s="24">
        <v>2</v>
      </c>
      <c r="L58" s="24">
        <v>1</v>
      </c>
      <c r="M58" s="24">
        <v>3</v>
      </c>
      <c r="N58" s="24"/>
      <c r="O58" s="24">
        <v>3</v>
      </c>
      <c r="P58" s="24"/>
      <c r="Q58" s="24"/>
      <c r="R58" s="24"/>
      <c r="S58" s="24"/>
      <c r="T58" s="24"/>
      <c r="U58" s="24">
        <v>12</v>
      </c>
    </row>
    <row r="59" spans="1:21" ht="15" customHeight="1" x14ac:dyDescent="0.25">
      <c r="A59" s="517" t="s">
        <v>1442</v>
      </c>
      <c r="B59" s="24" t="s">
        <v>1293</v>
      </c>
      <c r="C59" s="430">
        <v>42332</v>
      </c>
      <c r="D59" s="431">
        <v>42339</v>
      </c>
      <c r="E59" s="421">
        <v>7</v>
      </c>
      <c r="F59" s="431">
        <v>42289</v>
      </c>
      <c r="G59" s="421">
        <v>2</v>
      </c>
      <c r="H59" s="28">
        <v>-3190</v>
      </c>
      <c r="I59" s="24"/>
      <c r="J59" s="24">
        <v>1</v>
      </c>
      <c r="K59" s="24">
        <v>1</v>
      </c>
      <c r="L59" s="24"/>
      <c r="M59" s="24"/>
      <c r="N59" s="24"/>
      <c r="O59" s="24"/>
      <c r="P59" s="24"/>
      <c r="Q59" s="24"/>
      <c r="R59" s="24"/>
      <c r="S59" s="24"/>
      <c r="T59" s="24"/>
      <c r="U59" s="24">
        <v>2</v>
      </c>
    </row>
    <row r="60" spans="1:21" ht="15" customHeight="1" x14ac:dyDescent="0.25">
      <c r="A60" s="27"/>
      <c r="B60" s="24"/>
      <c r="C60" s="430"/>
      <c r="D60" s="431"/>
      <c r="E60" s="421"/>
      <c r="F60" s="431"/>
      <c r="G60" s="421"/>
      <c r="H60" s="28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>
        <f t="shared" ref="U60" si="18">SUM(I60:T60)</f>
        <v>0</v>
      </c>
    </row>
    <row r="61" spans="1:21" ht="15" customHeight="1" x14ac:dyDescent="0.25">
      <c r="A61" s="443" t="s">
        <v>1230</v>
      </c>
      <c r="B61" s="444"/>
      <c r="C61" s="445"/>
      <c r="D61" s="446"/>
      <c r="E61" s="447"/>
      <c r="F61" s="446"/>
      <c r="G61" s="447">
        <f>SUM(G58:G60)</f>
        <v>14</v>
      </c>
      <c r="H61" s="448">
        <f>SUM(H58:H60)</f>
        <v>-10191</v>
      </c>
      <c r="I61" s="447">
        <f t="shared" ref="I61:U61" si="19">SUM(I58:I60)</f>
        <v>1</v>
      </c>
      <c r="J61" s="447">
        <f t="shared" si="19"/>
        <v>3</v>
      </c>
      <c r="K61" s="447">
        <f t="shared" si="19"/>
        <v>3</v>
      </c>
      <c r="L61" s="447">
        <f t="shared" si="19"/>
        <v>1</v>
      </c>
      <c r="M61" s="447">
        <f t="shared" si="19"/>
        <v>3</v>
      </c>
      <c r="N61" s="447">
        <f t="shared" si="19"/>
        <v>0</v>
      </c>
      <c r="O61" s="447">
        <f t="shared" si="19"/>
        <v>3</v>
      </c>
      <c r="P61" s="447">
        <f t="shared" si="19"/>
        <v>0</v>
      </c>
      <c r="Q61" s="447">
        <f t="shared" si="19"/>
        <v>0</v>
      </c>
      <c r="R61" s="447">
        <f t="shared" si="19"/>
        <v>0</v>
      </c>
      <c r="S61" s="447">
        <f t="shared" si="19"/>
        <v>0</v>
      </c>
      <c r="T61" s="447">
        <f t="shared" si="19"/>
        <v>0</v>
      </c>
      <c r="U61" s="447">
        <f t="shared" si="19"/>
        <v>14</v>
      </c>
    </row>
    <row r="63" spans="1:21" x14ac:dyDescent="0.25">
      <c r="A63" s="739" t="s">
        <v>1231</v>
      </c>
      <c r="B63" s="739"/>
    </row>
    <row r="64" spans="1:21" ht="30" x14ac:dyDescent="0.25">
      <c r="A64" s="449" t="s">
        <v>1</v>
      </c>
      <c r="B64" s="449" t="s">
        <v>59</v>
      </c>
      <c r="C64" s="425" t="s">
        <v>1222</v>
      </c>
      <c r="D64" s="425" t="s">
        <v>1223</v>
      </c>
      <c r="E64" s="425" t="s">
        <v>392</v>
      </c>
      <c r="F64" s="426" t="s">
        <v>2</v>
      </c>
      <c r="G64" s="432" t="s">
        <v>1225</v>
      </c>
      <c r="H64" s="427" t="s">
        <v>1224</v>
      </c>
      <c r="I64" s="424" t="s">
        <v>681</v>
      </c>
      <c r="J64" s="424" t="s">
        <v>77</v>
      </c>
      <c r="K64" s="424" t="s">
        <v>682</v>
      </c>
      <c r="L64" s="424" t="s">
        <v>683</v>
      </c>
      <c r="M64" s="424" t="s">
        <v>87</v>
      </c>
      <c r="N64" s="424" t="s">
        <v>684</v>
      </c>
      <c r="O64" s="424" t="s">
        <v>685</v>
      </c>
      <c r="P64" s="424" t="s">
        <v>690</v>
      </c>
      <c r="Q64" s="424" t="s">
        <v>686</v>
      </c>
      <c r="R64" s="424" t="s">
        <v>687</v>
      </c>
      <c r="S64" s="424" t="s">
        <v>688</v>
      </c>
      <c r="T64" s="424" t="s">
        <v>689</v>
      </c>
      <c r="U64" s="424" t="s">
        <v>1238</v>
      </c>
    </row>
    <row r="65" spans="1:21" ht="15" customHeight="1" x14ac:dyDescent="0.25">
      <c r="A65" s="27"/>
      <c r="B65" s="24"/>
      <c r="C65" s="430"/>
      <c r="D65" s="431"/>
      <c r="E65" s="421"/>
      <c r="F65" s="431"/>
      <c r="G65" s="421"/>
      <c r="H65" s="28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>
        <f t="shared" ref="U65:U67" si="20">SUM(I65:T65)</f>
        <v>0</v>
      </c>
    </row>
    <row r="66" spans="1:21" ht="15" customHeight="1" x14ac:dyDescent="0.25">
      <c r="A66" s="27"/>
      <c r="B66" s="24"/>
      <c r="C66" s="430"/>
      <c r="D66" s="431"/>
      <c r="E66" s="421"/>
      <c r="F66" s="431"/>
      <c r="G66" s="421"/>
      <c r="H66" s="28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>
        <f t="shared" si="20"/>
        <v>0</v>
      </c>
    </row>
    <row r="67" spans="1:21" ht="15" customHeight="1" x14ac:dyDescent="0.25">
      <c r="A67" s="27"/>
      <c r="B67" s="24"/>
      <c r="C67" s="430"/>
      <c r="D67" s="431"/>
      <c r="E67" s="421"/>
      <c r="F67" s="431"/>
      <c r="G67" s="421"/>
      <c r="H67" s="28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>
        <f t="shared" si="20"/>
        <v>0</v>
      </c>
    </row>
    <row r="68" spans="1:21" ht="15" customHeight="1" x14ac:dyDescent="0.25">
      <c r="A68" s="443" t="s">
        <v>1230</v>
      </c>
      <c r="B68" s="444"/>
      <c r="C68" s="445"/>
      <c r="D68" s="446"/>
      <c r="E68" s="447"/>
      <c r="F68" s="446"/>
      <c r="G68" s="447">
        <f>SUM(G65:G67)</f>
        <v>0</v>
      </c>
      <c r="H68" s="448">
        <f>SUM(H65:H67)</f>
        <v>0</v>
      </c>
      <c r="I68" s="447">
        <f t="shared" ref="I68:U68" si="21">SUM(I65:I67)</f>
        <v>0</v>
      </c>
      <c r="J68" s="447">
        <f t="shared" si="21"/>
        <v>0</v>
      </c>
      <c r="K68" s="447">
        <f t="shared" si="21"/>
        <v>0</v>
      </c>
      <c r="L68" s="447">
        <f t="shared" si="21"/>
        <v>0</v>
      </c>
      <c r="M68" s="447">
        <f t="shared" si="21"/>
        <v>0</v>
      </c>
      <c r="N68" s="447">
        <f t="shared" si="21"/>
        <v>0</v>
      </c>
      <c r="O68" s="447">
        <f t="shared" si="21"/>
        <v>0</v>
      </c>
      <c r="P68" s="447">
        <f t="shared" si="21"/>
        <v>0</v>
      </c>
      <c r="Q68" s="447">
        <f t="shared" si="21"/>
        <v>0</v>
      </c>
      <c r="R68" s="447">
        <f t="shared" si="21"/>
        <v>0</v>
      </c>
      <c r="S68" s="447">
        <f t="shared" si="21"/>
        <v>0</v>
      </c>
      <c r="T68" s="447">
        <f t="shared" si="21"/>
        <v>0</v>
      </c>
      <c r="U68" s="447">
        <f t="shared" si="21"/>
        <v>0</v>
      </c>
    </row>
    <row r="69" spans="1:21" ht="15.75" thickBot="1" x14ac:dyDescent="0.3"/>
    <row r="70" spans="1:21" ht="15.75" thickBot="1" x14ac:dyDescent="0.3">
      <c r="A70" s="436" t="s">
        <v>1232</v>
      </c>
      <c r="B70" s="434"/>
      <c r="C70" s="434"/>
      <c r="D70" s="434"/>
      <c r="E70" s="434"/>
      <c r="F70" s="434"/>
      <c r="G70" s="437">
        <f t="shared" ref="G70:U70" si="22">G31+G41+G54+G61+G68</f>
        <v>37</v>
      </c>
      <c r="H70" s="438">
        <f t="shared" si="22"/>
        <v>35491</v>
      </c>
      <c r="I70" s="450">
        <f t="shared" si="22"/>
        <v>6</v>
      </c>
      <c r="J70" s="450">
        <f t="shared" si="22"/>
        <v>5</v>
      </c>
      <c r="K70" s="450">
        <f t="shared" si="22"/>
        <v>4</v>
      </c>
      <c r="L70" s="450">
        <f t="shared" si="22"/>
        <v>2</v>
      </c>
      <c r="M70" s="450">
        <f t="shared" si="22"/>
        <v>7</v>
      </c>
      <c r="N70" s="450">
        <f t="shared" si="22"/>
        <v>1</v>
      </c>
      <c r="O70" s="450">
        <f t="shared" si="22"/>
        <v>4</v>
      </c>
      <c r="P70" s="450">
        <f t="shared" si="22"/>
        <v>1</v>
      </c>
      <c r="Q70" s="450">
        <f t="shared" si="22"/>
        <v>1</v>
      </c>
      <c r="R70" s="450">
        <f t="shared" si="22"/>
        <v>1</v>
      </c>
      <c r="S70" s="450">
        <f t="shared" si="22"/>
        <v>1</v>
      </c>
      <c r="T70" s="450">
        <f t="shared" si="22"/>
        <v>4</v>
      </c>
      <c r="U70" s="450">
        <f t="shared" si="22"/>
        <v>33</v>
      </c>
    </row>
    <row r="71" spans="1:21" ht="15.75" thickBot="1" x14ac:dyDescent="0.3">
      <c r="A71" s="436" t="s">
        <v>64</v>
      </c>
      <c r="B71" s="434"/>
      <c r="C71" s="434"/>
      <c r="D71" s="434"/>
      <c r="E71" s="434"/>
      <c r="F71" s="434"/>
      <c r="G71" s="437"/>
      <c r="H71" s="438"/>
    </row>
    <row r="72" spans="1:21" ht="15.75" thickBot="1" x14ac:dyDescent="0.3">
      <c r="A72" s="439" t="s">
        <v>452</v>
      </c>
      <c r="B72" s="440"/>
      <c r="C72" s="440"/>
      <c r="D72" s="440"/>
      <c r="E72" s="440"/>
      <c r="F72" s="440"/>
      <c r="G72" s="441"/>
      <c r="H72" s="442">
        <f>H70-H71</f>
        <v>35491</v>
      </c>
    </row>
    <row r="73" spans="1:21" x14ac:dyDescent="0.25">
      <c r="I73" s="520"/>
    </row>
    <row r="75" spans="1:21" x14ac:dyDescent="0.25">
      <c r="H75" s="435"/>
    </row>
  </sheetData>
  <mergeCells count="8">
    <mergeCell ref="G3:H3"/>
    <mergeCell ref="A33:B33"/>
    <mergeCell ref="A43:B43"/>
    <mergeCell ref="A56:B56"/>
    <mergeCell ref="A63:B63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150"/>
  <sheetViews>
    <sheetView zoomScale="80" zoomScaleNormal="80" workbookViewId="0">
      <pane xSplit="7" ySplit="4" topLeftCell="H124" activePane="bottomRight" state="frozen"/>
      <selection activeCell="E76" sqref="E76"/>
      <selection pane="topRight" activeCell="E76" sqref="E76"/>
      <selection pane="bottomLeft" activeCell="E76" sqref="E76"/>
      <selection pane="bottomRight" activeCell="E76" sqref="E76"/>
    </sheetView>
  </sheetViews>
  <sheetFormatPr defaultColWidth="8.85546875" defaultRowHeight="15" x14ac:dyDescent="0.25"/>
  <cols>
    <col min="1" max="1" width="53.28515625" style="419" bestFit="1" customWidth="1"/>
    <col min="2" max="2" width="8.85546875" style="419"/>
    <col min="3" max="7" width="11.85546875" style="419" customWidth="1"/>
    <col min="8" max="8" width="18.7109375" style="419" bestFit="1" customWidth="1"/>
    <col min="9" max="23" width="6.28515625" style="419" customWidth="1"/>
    <col min="24" max="16384" width="8.85546875" style="419"/>
  </cols>
  <sheetData>
    <row r="1" spans="1:23" x14ac:dyDescent="0.25">
      <c r="A1" s="418" t="s">
        <v>1362</v>
      </c>
    </row>
    <row r="3" spans="1:23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</row>
    <row r="4" spans="1:23" ht="30" x14ac:dyDescent="0.25">
      <c r="A4" s="449" t="s">
        <v>1</v>
      </c>
      <c r="B4" s="44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681</v>
      </c>
      <c r="J4" s="424" t="s">
        <v>77</v>
      </c>
      <c r="K4" s="424" t="s">
        <v>682</v>
      </c>
      <c r="L4" s="424" t="s">
        <v>683</v>
      </c>
      <c r="M4" s="424" t="s">
        <v>87</v>
      </c>
      <c r="N4" s="424" t="s">
        <v>684</v>
      </c>
      <c r="O4" s="424" t="s">
        <v>685</v>
      </c>
      <c r="P4" s="424" t="s">
        <v>690</v>
      </c>
      <c r="Q4" s="424" t="s">
        <v>686</v>
      </c>
      <c r="R4" s="424" t="s">
        <v>687</v>
      </c>
      <c r="S4" s="424" t="s">
        <v>688</v>
      </c>
      <c r="T4" s="424" t="s">
        <v>689</v>
      </c>
      <c r="U4" s="424" t="s">
        <v>138</v>
      </c>
      <c r="V4" s="424" t="s">
        <v>1385</v>
      </c>
      <c r="W4" s="424" t="s">
        <v>1238</v>
      </c>
    </row>
    <row r="5" spans="1:23" ht="14.45" customHeight="1" x14ac:dyDescent="0.25">
      <c r="A5" s="9" t="s">
        <v>49</v>
      </c>
      <c r="B5" s="6" t="s">
        <v>1293</v>
      </c>
      <c r="C5" s="9">
        <v>2</v>
      </c>
      <c r="D5" s="414">
        <v>1680</v>
      </c>
      <c r="E5" s="483">
        <v>2</v>
      </c>
      <c r="F5" s="414">
        <v>1730</v>
      </c>
      <c r="G5" s="483">
        <f t="shared" ref="G5:G34" si="0">E5-C5</f>
        <v>0</v>
      </c>
      <c r="H5" s="414">
        <f t="shared" ref="H5:H34" si="1">F5-D5</f>
        <v>50</v>
      </c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>
        <f t="shared" ref="W5:W34" si="2">SUM(I5:V5)</f>
        <v>0</v>
      </c>
    </row>
    <row r="6" spans="1:23" ht="14.45" customHeight="1" x14ac:dyDescent="0.25">
      <c r="A6" s="9" t="s">
        <v>50</v>
      </c>
      <c r="B6" s="6" t="s">
        <v>115</v>
      </c>
      <c r="C6" s="9">
        <v>4</v>
      </c>
      <c r="D6" s="414">
        <v>7035</v>
      </c>
      <c r="E6" s="483">
        <v>4</v>
      </c>
      <c r="F6" s="414">
        <v>6160</v>
      </c>
      <c r="G6" s="483">
        <f t="shared" si="0"/>
        <v>0</v>
      </c>
      <c r="H6" s="414">
        <f t="shared" si="1"/>
        <v>-875</v>
      </c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>
        <f t="shared" si="2"/>
        <v>0</v>
      </c>
    </row>
    <row r="7" spans="1:23" ht="14.45" customHeight="1" x14ac:dyDescent="0.25">
      <c r="A7" s="9" t="s">
        <v>300</v>
      </c>
      <c r="B7" s="6" t="s">
        <v>60</v>
      </c>
      <c r="C7" s="9">
        <v>6</v>
      </c>
      <c r="D7" s="414">
        <v>9300</v>
      </c>
      <c r="E7" s="483">
        <f>2+4</f>
        <v>6</v>
      </c>
      <c r="F7" s="414">
        <v>9570</v>
      </c>
      <c r="G7" s="483">
        <f t="shared" si="0"/>
        <v>0</v>
      </c>
      <c r="H7" s="414">
        <f t="shared" si="1"/>
        <v>270</v>
      </c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>
        <f t="shared" si="2"/>
        <v>0</v>
      </c>
    </row>
    <row r="8" spans="1:23" ht="14.45" customHeight="1" x14ac:dyDescent="0.25">
      <c r="A8" s="9" t="s">
        <v>325</v>
      </c>
      <c r="B8" s="6" t="s">
        <v>115</v>
      </c>
      <c r="C8" s="9">
        <v>8</v>
      </c>
      <c r="D8" s="414">
        <v>12400</v>
      </c>
      <c r="E8" s="483">
        <v>8</v>
      </c>
      <c r="F8" s="414">
        <v>12760</v>
      </c>
      <c r="G8" s="483">
        <f t="shared" si="0"/>
        <v>0</v>
      </c>
      <c r="H8" s="414">
        <f t="shared" si="1"/>
        <v>360</v>
      </c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>
        <f t="shared" si="2"/>
        <v>0</v>
      </c>
    </row>
    <row r="9" spans="1:23" ht="14.45" customHeight="1" x14ac:dyDescent="0.25">
      <c r="A9" s="9" t="s">
        <v>1192</v>
      </c>
      <c r="B9" s="6" t="s">
        <v>115</v>
      </c>
      <c r="C9" s="9">
        <v>2</v>
      </c>
      <c r="D9" s="414">
        <v>3100</v>
      </c>
      <c r="E9" s="483">
        <v>2</v>
      </c>
      <c r="F9" s="414">
        <f>1595+1550</f>
        <v>3145</v>
      </c>
      <c r="G9" s="483">
        <f t="shared" si="0"/>
        <v>0</v>
      </c>
      <c r="H9" s="414">
        <f t="shared" si="1"/>
        <v>45</v>
      </c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>
        <f t="shared" si="2"/>
        <v>0</v>
      </c>
    </row>
    <row r="10" spans="1:23" ht="14.45" customHeight="1" x14ac:dyDescent="0.25">
      <c r="A10" s="9" t="s">
        <v>315</v>
      </c>
      <c r="B10" s="6" t="s">
        <v>1293</v>
      </c>
      <c r="C10" s="9">
        <v>1</v>
      </c>
      <c r="D10" s="414">
        <v>1550</v>
      </c>
      <c r="E10" s="483">
        <v>1</v>
      </c>
      <c r="F10" s="414">
        <v>1595</v>
      </c>
      <c r="G10" s="483">
        <f t="shared" si="0"/>
        <v>0</v>
      </c>
      <c r="H10" s="414">
        <f t="shared" si="1"/>
        <v>45</v>
      </c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>
        <f t="shared" si="2"/>
        <v>0</v>
      </c>
    </row>
    <row r="11" spans="1:23" ht="14.45" customHeight="1" x14ac:dyDescent="0.25">
      <c r="A11" s="9" t="s">
        <v>264</v>
      </c>
      <c r="B11" s="6" t="s">
        <v>60</v>
      </c>
      <c r="C11" s="9">
        <v>4</v>
      </c>
      <c r="D11" s="414">
        <v>3990</v>
      </c>
      <c r="E11" s="483">
        <v>4</v>
      </c>
      <c r="F11" s="414">
        <v>3670</v>
      </c>
      <c r="G11" s="483">
        <f t="shared" si="0"/>
        <v>0</v>
      </c>
      <c r="H11" s="414">
        <f t="shared" si="1"/>
        <v>-320</v>
      </c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>
        <f t="shared" si="2"/>
        <v>0</v>
      </c>
    </row>
    <row r="12" spans="1:23" ht="14.45" customHeight="1" x14ac:dyDescent="0.25">
      <c r="A12" s="9" t="s">
        <v>262</v>
      </c>
      <c r="B12" s="6" t="s">
        <v>60</v>
      </c>
      <c r="C12" s="9">
        <v>6</v>
      </c>
      <c r="D12" s="414">
        <v>10290</v>
      </c>
      <c r="E12" s="483">
        <v>6</v>
      </c>
      <c r="F12" s="414">
        <v>10590</v>
      </c>
      <c r="G12" s="483">
        <f t="shared" si="0"/>
        <v>0</v>
      </c>
      <c r="H12" s="414">
        <f t="shared" si="1"/>
        <v>300</v>
      </c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>
        <f t="shared" si="2"/>
        <v>0</v>
      </c>
    </row>
    <row r="13" spans="1:23" ht="14.45" customHeight="1" x14ac:dyDescent="0.25">
      <c r="A13" s="9" t="s">
        <v>263</v>
      </c>
      <c r="B13" s="6" t="s">
        <v>60</v>
      </c>
      <c r="C13" s="9">
        <v>5</v>
      </c>
      <c r="D13" s="414">
        <v>7350</v>
      </c>
      <c r="E13" s="483">
        <v>5</v>
      </c>
      <c r="F13" s="414">
        <v>7565</v>
      </c>
      <c r="G13" s="483">
        <f t="shared" si="0"/>
        <v>0</v>
      </c>
      <c r="H13" s="414">
        <f t="shared" si="1"/>
        <v>215</v>
      </c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>
        <f t="shared" si="2"/>
        <v>0</v>
      </c>
    </row>
    <row r="14" spans="1:23" ht="15" customHeight="1" x14ac:dyDescent="0.25">
      <c r="A14" s="9" t="s">
        <v>251</v>
      </c>
      <c r="B14" s="6" t="s">
        <v>115</v>
      </c>
      <c r="C14" s="9">
        <v>8</v>
      </c>
      <c r="D14" s="414">
        <v>12663</v>
      </c>
      <c r="E14" s="483">
        <v>8</v>
      </c>
      <c r="F14" s="414">
        <v>13518</v>
      </c>
      <c r="G14" s="483">
        <f t="shared" si="0"/>
        <v>0</v>
      </c>
      <c r="H14" s="414">
        <f t="shared" si="1"/>
        <v>855</v>
      </c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>
        <f t="shared" si="2"/>
        <v>0</v>
      </c>
    </row>
    <row r="15" spans="1:23" ht="14.45" customHeight="1" x14ac:dyDescent="0.25">
      <c r="A15" s="9" t="s">
        <v>1188</v>
      </c>
      <c r="B15" s="6" t="s">
        <v>60</v>
      </c>
      <c r="C15" s="9">
        <v>1</v>
      </c>
      <c r="D15" s="414">
        <v>1472</v>
      </c>
      <c r="E15" s="483">
        <v>1</v>
      </c>
      <c r="F15" s="414">
        <v>1515</v>
      </c>
      <c r="G15" s="483">
        <f t="shared" si="0"/>
        <v>0</v>
      </c>
      <c r="H15" s="414">
        <f t="shared" si="1"/>
        <v>43</v>
      </c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>
        <f t="shared" si="2"/>
        <v>0</v>
      </c>
    </row>
    <row r="16" spans="1:23" ht="14.45" customHeight="1" x14ac:dyDescent="0.25">
      <c r="A16" s="9" t="s">
        <v>1189</v>
      </c>
      <c r="B16" s="6" t="s">
        <v>60</v>
      </c>
      <c r="C16" s="9">
        <v>1</v>
      </c>
      <c r="D16" s="414">
        <v>1472.5</v>
      </c>
      <c r="E16" s="483">
        <v>1</v>
      </c>
      <c r="F16" s="414">
        <v>1515</v>
      </c>
      <c r="G16" s="483">
        <f t="shared" si="0"/>
        <v>0</v>
      </c>
      <c r="H16" s="414">
        <f t="shared" si="1"/>
        <v>42.5</v>
      </c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>
        <f t="shared" si="2"/>
        <v>0</v>
      </c>
    </row>
    <row r="17" spans="1:23" ht="14.45" customHeight="1" x14ac:dyDescent="0.25">
      <c r="A17" s="9" t="s">
        <v>95</v>
      </c>
      <c r="B17" s="6" t="s">
        <v>1293</v>
      </c>
      <c r="C17" s="9">
        <v>8</v>
      </c>
      <c r="D17" s="414">
        <v>11340</v>
      </c>
      <c r="E17" s="483">
        <v>8</v>
      </c>
      <c r="F17" s="414">
        <v>12155</v>
      </c>
      <c r="G17" s="483">
        <f t="shared" si="0"/>
        <v>0</v>
      </c>
      <c r="H17" s="414">
        <f t="shared" si="1"/>
        <v>815</v>
      </c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>
        <f t="shared" si="2"/>
        <v>0</v>
      </c>
    </row>
    <row r="18" spans="1:23" ht="14.45" customHeight="1" x14ac:dyDescent="0.25">
      <c r="A18" s="9" t="s">
        <v>183</v>
      </c>
      <c r="B18" s="6" t="s">
        <v>1293</v>
      </c>
      <c r="C18" s="9">
        <v>3</v>
      </c>
      <c r="D18" s="414">
        <v>5080</v>
      </c>
      <c r="E18" s="483">
        <v>3</v>
      </c>
      <c r="F18" s="414">
        <v>4755</v>
      </c>
      <c r="G18" s="483">
        <f t="shared" si="0"/>
        <v>0</v>
      </c>
      <c r="H18" s="414">
        <f t="shared" si="1"/>
        <v>-325</v>
      </c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>
        <f t="shared" si="2"/>
        <v>0</v>
      </c>
    </row>
    <row r="19" spans="1:23" ht="14.45" customHeight="1" x14ac:dyDescent="0.25">
      <c r="A19" s="9" t="s">
        <v>46</v>
      </c>
      <c r="B19" s="6" t="s">
        <v>115</v>
      </c>
      <c r="C19" s="9">
        <v>8</v>
      </c>
      <c r="D19" s="414">
        <v>16847.5</v>
      </c>
      <c r="E19" s="483">
        <v>8</v>
      </c>
      <c r="F19" s="414">
        <v>16785</v>
      </c>
      <c r="G19" s="483">
        <f t="shared" si="0"/>
        <v>0</v>
      </c>
      <c r="H19" s="414">
        <f t="shared" si="1"/>
        <v>-62.5</v>
      </c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>
        <f t="shared" si="2"/>
        <v>0</v>
      </c>
    </row>
    <row r="20" spans="1:23" ht="14.45" customHeight="1" x14ac:dyDescent="0.25">
      <c r="A20" s="9" t="s">
        <v>1167</v>
      </c>
      <c r="B20" s="6" t="s">
        <v>115</v>
      </c>
      <c r="C20" s="9">
        <v>1</v>
      </c>
      <c r="D20" s="414">
        <v>1550</v>
      </c>
      <c r="E20" s="483">
        <v>1</v>
      </c>
      <c r="F20" s="414">
        <v>1595</v>
      </c>
      <c r="G20" s="483">
        <f t="shared" si="0"/>
        <v>0</v>
      </c>
      <c r="H20" s="414">
        <f t="shared" si="1"/>
        <v>45</v>
      </c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>
        <f t="shared" si="2"/>
        <v>0</v>
      </c>
    </row>
    <row r="21" spans="1:23" ht="14.45" customHeight="1" x14ac:dyDescent="0.25">
      <c r="A21" s="9" t="s">
        <v>275</v>
      </c>
      <c r="B21" s="6" t="s">
        <v>1293</v>
      </c>
      <c r="C21" s="9">
        <v>6</v>
      </c>
      <c r="D21" s="414">
        <v>9345</v>
      </c>
      <c r="E21" s="483">
        <v>6</v>
      </c>
      <c r="F21" s="414">
        <v>10050</v>
      </c>
      <c r="G21" s="483">
        <f t="shared" si="0"/>
        <v>0</v>
      </c>
      <c r="H21" s="414">
        <f t="shared" si="1"/>
        <v>705</v>
      </c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>
        <f t="shared" si="2"/>
        <v>0</v>
      </c>
    </row>
    <row r="22" spans="1:23" ht="14.45" customHeight="1" x14ac:dyDescent="0.25">
      <c r="A22" s="9" t="s">
        <v>353</v>
      </c>
      <c r="B22" s="6" t="s">
        <v>115</v>
      </c>
      <c r="C22" s="9">
        <v>1</v>
      </c>
      <c r="D22" s="414">
        <v>840</v>
      </c>
      <c r="E22" s="483">
        <v>1</v>
      </c>
      <c r="F22" s="414">
        <v>865</v>
      </c>
      <c r="G22" s="483">
        <f t="shared" si="0"/>
        <v>0</v>
      </c>
      <c r="H22" s="414">
        <f t="shared" si="1"/>
        <v>25</v>
      </c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>
        <f t="shared" si="2"/>
        <v>0</v>
      </c>
    </row>
    <row r="23" spans="1:23" ht="14.45" customHeight="1" x14ac:dyDescent="0.25">
      <c r="A23" s="9" t="s">
        <v>56</v>
      </c>
      <c r="B23" s="6" t="s">
        <v>115</v>
      </c>
      <c r="C23" s="9">
        <v>8</v>
      </c>
      <c r="D23" s="414">
        <v>11650</v>
      </c>
      <c r="E23" s="483">
        <v>8</v>
      </c>
      <c r="F23" s="414">
        <v>11925</v>
      </c>
      <c r="G23" s="483">
        <f t="shared" si="0"/>
        <v>0</v>
      </c>
      <c r="H23" s="414">
        <f t="shared" si="1"/>
        <v>275</v>
      </c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>
        <f t="shared" si="2"/>
        <v>0</v>
      </c>
    </row>
    <row r="24" spans="1:23" ht="15" customHeight="1" x14ac:dyDescent="0.25">
      <c r="A24" s="9" t="s">
        <v>1140</v>
      </c>
      <c r="B24" s="6" t="s">
        <v>60</v>
      </c>
      <c r="C24" s="9">
        <v>4</v>
      </c>
      <c r="D24" s="414">
        <v>4515</v>
      </c>
      <c r="E24" s="483">
        <v>4</v>
      </c>
      <c r="F24" s="414">
        <v>4645</v>
      </c>
      <c r="G24" s="483">
        <f t="shared" si="0"/>
        <v>0</v>
      </c>
      <c r="H24" s="414">
        <f t="shared" si="1"/>
        <v>130</v>
      </c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>
        <f t="shared" si="2"/>
        <v>0</v>
      </c>
    </row>
    <row r="25" spans="1:23" ht="14.45" customHeight="1" x14ac:dyDescent="0.25">
      <c r="A25" s="9" t="s">
        <v>847</v>
      </c>
      <c r="B25" s="6" t="s">
        <v>60</v>
      </c>
      <c r="C25" s="9">
        <v>4</v>
      </c>
      <c r="D25" s="414">
        <v>7560</v>
      </c>
      <c r="E25" s="483">
        <v>4</v>
      </c>
      <c r="F25" s="414">
        <v>7240</v>
      </c>
      <c r="G25" s="483">
        <f t="shared" si="0"/>
        <v>0</v>
      </c>
      <c r="H25" s="414">
        <f t="shared" si="1"/>
        <v>-320</v>
      </c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>
        <f t="shared" si="2"/>
        <v>0</v>
      </c>
    </row>
    <row r="26" spans="1:23" ht="14.45" customHeight="1" x14ac:dyDescent="0.25">
      <c r="A26" s="9" t="s">
        <v>1141</v>
      </c>
      <c r="B26" s="6" t="s">
        <v>60</v>
      </c>
      <c r="C26" s="9">
        <v>4</v>
      </c>
      <c r="D26" s="414">
        <v>5040</v>
      </c>
      <c r="E26" s="483">
        <v>4</v>
      </c>
      <c r="F26" s="414">
        <v>5620</v>
      </c>
      <c r="G26" s="483">
        <f t="shared" si="0"/>
        <v>0</v>
      </c>
      <c r="H26" s="414">
        <f t="shared" si="1"/>
        <v>580</v>
      </c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>
        <f t="shared" si="2"/>
        <v>0</v>
      </c>
    </row>
    <row r="27" spans="1:23" ht="14.45" customHeight="1" x14ac:dyDescent="0.25">
      <c r="A27" s="9" t="s">
        <v>1166</v>
      </c>
      <c r="B27" s="6" t="s">
        <v>1293</v>
      </c>
      <c r="C27" s="9">
        <v>12</v>
      </c>
      <c r="D27" s="414">
        <v>18645</v>
      </c>
      <c r="E27" s="483">
        <v>12</v>
      </c>
      <c r="F27" s="414">
        <v>19140</v>
      </c>
      <c r="G27" s="483">
        <f t="shared" si="0"/>
        <v>0</v>
      </c>
      <c r="H27" s="414">
        <f t="shared" si="1"/>
        <v>495</v>
      </c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>
        <f t="shared" si="2"/>
        <v>0</v>
      </c>
    </row>
    <row r="28" spans="1:23" ht="14.45" customHeight="1" x14ac:dyDescent="0.25">
      <c r="A28" s="9" t="s">
        <v>1281</v>
      </c>
      <c r="B28" s="6" t="s">
        <v>115</v>
      </c>
      <c r="C28" s="9">
        <v>7</v>
      </c>
      <c r="D28" s="414">
        <v>11056.5</v>
      </c>
      <c r="E28" s="483">
        <v>7</v>
      </c>
      <c r="F28" s="414">
        <v>12254</v>
      </c>
      <c r="G28" s="483">
        <f t="shared" si="0"/>
        <v>0</v>
      </c>
      <c r="H28" s="414">
        <f t="shared" si="1"/>
        <v>1197.5</v>
      </c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>
        <f t="shared" si="2"/>
        <v>0</v>
      </c>
    </row>
    <row r="29" spans="1:23" ht="14.45" customHeight="1" x14ac:dyDescent="0.25">
      <c r="A29" s="9" t="s">
        <v>47</v>
      </c>
      <c r="B29" s="6" t="s">
        <v>60</v>
      </c>
      <c r="C29" s="9">
        <v>11</v>
      </c>
      <c r="D29" s="414">
        <v>16674</v>
      </c>
      <c r="E29" s="483">
        <v>11</v>
      </c>
      <c r="F29" s="414">
        <v>18378</v>
      </c>
      <c r="G29" s="483">
        <f t="shared" si="0"/>
        <v>0</v>
      </c>
      <c r="H29" s="414">
        <f t="shared" si="1"/>
        <v>1704</v>
      </c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>
        <f t="shared" si="2"/>
        <v>0</v>
      </c>
    </row>
    <row r="30" spans="1:23" ht="14.45" customHeight="1" x14ac:dyDescent="0.25">
      <c r="A30" s="9" t="s">
        <v>1260</v>
      </c>
      <c r="B30" s="6" t="s">
        <v>60</v>
      </c>
      <c r="C30" s="9">
        <v>1</v>
      </c>
      <c r="D30" s="414">
        <v>2415</v>
      </c>
      <c r="E30" s="483">
        <v>1</v>
      </c>
      <c r="F30" s="414">
        <v>2485</v>
      </c>
      <c r="G30" s="483">
        <f t="shared" si="0"/>
        <v>0</v>
      </c>
      <c r="H30" s="414">
        <f t="shared" si="1"/>
        <v>70</v>
      </c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>
        <f t="shared" si="2"/>
        <v>0</v>
      </c>
    </row>
    <row r="31" spans="1:23" ht="14.45" customHeight="1" x14ac:dyDescent="0.25">
      <c r="A31" s="9" t="s">
        <v>349</v>
      </c>
      <c r="B31" s="6" t="s">
        <v>115</v>
      </c>
      <c r="C31" s="9">
        <v>1</v>
      </c>
      <c r="D31" s="414">
        <v>420</v>
      </c>
      <c r="E31" s="483">
        <v>1</v>
      </c>
      <c r="F31" s="414">
        <v>430</v>
      </c>
      <c r="G31" s="483">
        <f t="shared" si="0"/>
        <v>0</v>
      </c>
      <c r="H31" s="414">
        <f t="shared" si="1"/>
        <v>10</v>
      </c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>
        <f t="shared" si="2"/>
        <v>0</v>
      </c>
    </row>
    <row r="32" spans="1:23" ht="15" customHeight="1" x14ac:dyDescent="0.25">
      <c r="A32" s="9" t="s">
        <v>1137</v>
      </c>
      <c r="B32" s="6" t="s">
        <v>1293</v>
      </c>
      <c r="C32" s="9">
        <v>1</v>
      </c>
      <c r="D32" s="414">
        <v>1550</v>
      </c>
      <c r="E32" s="483">
        <v>1</v>
      </c>
      <c r="F32" s="414">
        <v>1595</v>
      </c>
      <c r="G32" s="483">
        <f t="shared" si="0"/>
        <v>0</v>
      </c>
      <c r="H32" s="414">
        <f t="shared" si="1"/>
        <v>45</v>
      </c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>
        <f t="shared" si="2"/>
        <v>0</v>
      </c>
    </row>
    <row r="33" spans="1:23" ht="14.45" customHeight="1" x14ac:dyDescent="0.25">
      <c r="A33" s="9" t="s">
        <v>114</v>
      </c>
      <c r="B33" s="6" t="s">
        <v>60</v>
      </c>
      <c r="C33" s="9">
        <v>3</v>
      </c>
      <c r="D33" s="414">
        <v>2520</v>
      </c>
      <c r="E33" s="483">
        <v>3</v>
      </c>
      <c r="F33" s="414">
        <v>1725</v>
      </c>
      <c r="G33" s="483">
        <f t="shared" si="0"/>
        <v>0</v>
      </c>
      <c r="H33" s="414">
        <f t="shared" si="1"/>
        <v>-795</v>
      </c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>
        <f t="shared" si="2"/>
        <v>0</v>
      </c>
    </row>
    <row r="34" spans="1:23" ht="14.45" customHeight="1" x14ac:dyDescent="0.25">
      <c r="A34" s="9" t="s">
        <v>370</v>
      </c>
      <c r="B34" s="6" t="s">
        <v>60</v>
      </c>
      <c r="C34" s="9">
        <v>7</v>
      </c>
      <c r="D34" s="414">
        <v>9639</v>
      </c>
      <c r="E34" s="483">
        <v>7</v>
      </c>
      <c r="F34" s="414">
        <v>8366</v>
      </c>
      <c r="G34" s="483">
        <f t="shared" si="0"/>
        <v>0</v>
      </c>
      <c r="H34" s="414">
        <f t="shared" si="1"/>
        <v>-1273</v>
      </c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>
        <f t="shared" si="2"/>
        <v>0</v>
      </c>
    </row>
    <row r="35" spans="1:23" ht="14.45" customHeight="1" x14ac:dyDescent="0.25">
      <c r="A35" s="9" t="s">
        <v>243</v>
      </c>
      <c r="B35" s="6" t="s">
        <v>60</v>
      </c>
      <c r="C35" s="9">
        <v>9</v>
      </c>
      <c r="D35" s="414">
        <v>10773</v>
      </c>
      <c r="E35" s="483">
        <v>9</v>
      </c>
      <c r="F35" s="414">
        <v>11084</v>
      </c>
      <c r="G35" s="483">
        <f t="shared" ref="G35:G65" si="3">E35-C35</f>
        <v>0</v>
      </c>
      <c r="H35" s="414">
        <f t="shared" ref="H35:H65" si="4">F35-D35</f>
        <v>311</v>
      </c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>
        <f t="shared" ref="W35:W65" si="5">SUM(I35:V35)</f>
        <v>0</v>
      </c>
    </row>
    <row r="36" spans="1:23" ht="14.45" customHeight="1" x14ac:dyDescent="0.25">
      <c r="A36" s="9" t="s">
        <v>190</v>
      </c>
      <c r="B36" s="6" t="s">
        <v>1293</v>
      </c>
      <c r="C36" s="9">
        <v>6</v>
      </c>
      <c r="D36" s="414">
        <v>4200</v>
      </c>
      <c r="E36" s="483">
        <v>6</v>
      </c>
      <c r="F36" s="414">
        <v>3885</v>
      </c>
      <c r="G36" s="483">
        <f t="shared" si="3"/>
        <v>0</v>
      </c>
      <c r="H36" s="414">
        <f t="shared" si="4"/>
        <v>-315</v>
      </c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>
        <f t="shared" si="5"/>
        <v>0</v>
      </c>
    </row>
    <row r="37" spans="1:23" ht="14.45" customHeight="1" x14ac:dyDescent="0.25">
      <c r="A37" s="9" t="s">
        <v>188</v>
      </c>
      <c r="B37" s="6" t="s">
        <v>1293</v>
      </c>
      <c r="C37" s="9">
        <v>9</v>
      </c>
      <c r="D37" s="414">
        <v>8977.5</v>
      </c>
      <c r="E37" s="483">
        <v>9</v>
      </c>
      <c r="F37" s="414">
        <v>7871</v>
      </c>
      <c r="G37" s="483">
        <f t="shared" si="3"/>
        <v>0</v>
      </c>
      <c r="H37" s="414">
        <f t="shared" si="4"/>
        <v>-1106.5</v>
      </c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>
        <f t="shared" si="5"/>
        <v>0</v>
      </c>
    </row>
    <row r="38" spans="1:23" ht="14.45" customHeight="1" x14ac:dyDescent="0.25">
      <c r="A38" s="9" t="s">
        <v>55</v>
      </c>
      <c r="B38" s="6" t="s">
        <v>115</v>
      </c>
      <c r="C38" s="9">
        <v>1</v>
      </c>
      <c r="D38" s="414">
        <v>420</v>
      </c>
      <c r="E38" s="483">
        <v>1</v>
      </c>
      <c r="F38" s="414">
        <v>865</v>
      </c>
      <c r="G38" s="483">
        <f t="shared" si="3"/>
        <v>0</v>
      </c>
      <c r="H38" s="414">
        <f t="shared" si="4"/>
        <v>445</v>
      </c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>
        <f t="shared" si="5"/>
        <v>0</v>
      </c>
    </row>
    <row r="39" spans="1:23" ht="14.45" customHeight="1" x14ac:dyDescent="0.25">
      <c r="A39" s="483" t="s">
        <v>350</v>
      </c>
      <c r="B39" s="6" t="s">
        <v>115</v>
      </c>
      <c r="C39" s="9">
        <v>3</v>
      </c>
      <c r="D39" s="414">
        <v>4095</v>
      </c>
      <c r="E39" s="483">
        <v>3</v>
      </c>
      <c r="F39" s="414">
        <v>4215</v>
      </c>
      <c r="G39" s="483">
        <f t="shared" si="3"/>
        <v>0</v>
      </c>
      <c r="H39" s="414">
        <f t="shared" si="4"/>
        <v>120</v>
      </c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>
        <f t="shared" si="5"/>
        <v>0</v>
      </c>
    </row>
    <row r="40" spans="1:23" ht="14.45" customHeight="1" x14ac:dyDescent="0.25">
      <c r="A40" s="9" t="s">
        <v>231</v>
      </c>
      <c r="B40" s="6" t="s">
        <v>60</v>
      </c>
      <c r="C40" s="9">
        <v>4</v>
      </c>
      <c r="D40" s="414">
        <v>6615</v>
      </c>
      <c r="E40" s="483">
        <v>4</v>
      </c>
      <c r="F40" s="414">
        <v>7780</v>
      </c>
      <c r="G40" s="483">
        <f t="shared" si="3"/>
        <v>0</v>
      </c>
      <c r="H40" s="414">
        <f t="shared" si="4"/>
        <v>1165</v>
      </c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>
        <f t="shared" si="5"/>
        <v>0</v>
      </c>
    </row>
    <row r="41" spans="1:23" ht="14.45" customHeight="1" x14ac:dyDescent="0.25">
      <c r="A41" s="9" t="s">
        <v>1183</v>
      </c>
      <c r="B41" s="6" t="s">
        <v>60</v>
      </c>
      <c r="C41" s="9">
        <v>1</v>
      </c>
      <c r="D41" s="414">
        <v>1550</v>
      </c>
      <c r="E41" s="483">
        <v>1</v>
      </c>
      <c r="F41" s="414">
        <v>1595</v>
      </c>
      <c r="G41" s="483">
        <f t="shared" si="3"/>
        <v>0</v>
      </c>
      <c r="H41" s="414">
        <f t="shared" si="4"/>
        <v>45</v>
      </c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>
        <f t="shared" si="5"/>
        <v>0</v>
      </c>
    </row>
    <row r="42" spans="1:23" ht="15" customHeight="1" x14ac:dyDescent="0.25">
      <c r="A42" s="9" t="s">
        <v>299</v>
      </c>
      <c r="B42" s="6" t="s">
        <v>60</v>
      </c>
      <c r="C42" s="9">
        <v>1</v>
      </c>
      <c r="D42" s="414">
        <v>420</v>
      </c>
      <c r="E42" s="483">
        <v>1</v>
      </c>
      <c r="F42" s="414">
        <v>865</v>
      </c>
      <c r="G42" s="483">
        <f t="shared" si="3"/>
        <v>0</v>
      </c>
      <c r="H42" s="414">
        <f t="shared" si="4"/>
        <v>445</v>
      </c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>
        <f t="shared" si="5"/>
        <v>0</v>
      </c>
    </row>
    <row r="43" spans="1:23" ht="14.45" customHeight="1" x14ac:dyDescent="0.25">
      <c r="A43" s="9" t="s">
        <v>1160</v>
      </c>
      <c r="B43" s="6" t="s">
        <v>1293</v>
      </c>
      <c r="C43" s="9">
        <v>1</v>
      </c>
      <c r="D43" s="414">
        <v>1595</v>
      </c>
      <c r="E43" s="483">
        <v>1</v>
      </c>
      <c r="F43" s="414">
        <v>1595</v>
      </c>
      <c r="G43" s="483">
        <f t="shared" si="3"/>
        <v>0</v>
      </c>
      <c r="H43" s="414">
        <f t="shared" si="4"/>
        <v>0</v>
      </c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>
        <f t="shared" si="5"/>
        <v>0</v>
      </c>
    </row>
    <row r="44" spans="1:23" ht="14.45" customHeight="1" x14ac:dyDescent="0.25">
      <c r="A44" s="9" t="s">
        <v>54</v>
      </c>
      <c r="B44" s="6" t="s">
        <v>60</v>
      </c>
      <c r="C44" s="9">
        <v>2</v>
      </c>
      <c r="D44" s="414">
        <v>3297</v>
      </c>
      <c r="E44" s="483">
        <v>2</v>
      </c>
      <c r="F44" s="414">
        <v>3890</v>
      </c>
      <c r="G44" s="483">
        <f t="shared" si="3"/>
        <v>0</v>
      </c>
      <c r="H44" s="414">
        <f t="shared" si="4"/>
        <v>593</v>
      </c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>
        <f t="shared" si="5"/>
        <v>0</v>
      </c>
    </row>
    <row r="45" spans="1:23" ht="14.45" customHeight="1" x14ac:dyDescent="0.25">
      <c r="A45" s="9" t="s">
        <v>285</v>
      </c>
      <c r="B45" s="6" t="s">
        <v>60</v>
      </c>
      <c r="C45" s="9">
        <v>8</v>
      </c>
      <c r="D45" s="414">
        <v>12400</v>
      </c>
      <c r="E45" s="483">
        <v>8</v>
      </c>
      <c r="F45" s="414">
        <v>12760</v>
      </c>
      <c r="G45" s="483">
        <f t="shared" si="3"/>
        <v>0</v>
      </c>
      <c r="H45" s="414">
        <f t="shared" si="4"/>
        <v>360</v>
      </c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>
        <f t="shared" si="5"/>
        <v>0</v>
      </c>
    </row>
    <row r="46" spans="1:23" ht="14.45" customHeight="1" x14ac:dyDescent="0.25">
      <c r="A46" s="9" t="s">
        <v>1143</v>
      </c>
      <c r="B46" s="6" t="s">
        <v>115</v>
      </c>
      <c r="C46" s="9">
        <v>8</v>
      </c>
      <c r="D46" s="414">
        <v>12400</v>
      </c>
      <c r="E46" s="483">
        <v>8</v>
      </c>
      <c r="F46" s="414">
        <v>12760</v>
      </c>
      <c r="G46" s="483">
        <f t="shared" si="3"/>
        <v>0</v>
      </c>
      <c r="H46" s="414">
        <f t="shared" si="4"/>
        <v>360</v>
      </c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>
        <f t="shared" si="5"/>
        <v>0</v>
      </c>
    </row>
    <row r="47" spans="1:23" ht="14.45" customHeight="1" x14ac:dyDescent="0.25">
      <c r="A47" s="9" t="s">
        <v>228</v>
      </c>
      <c r="B47" s="6" t="s">
        <v>60</v>
      </c>
      <c r="C47" s="9">
        <v>7</v>
      </c>
      <c r="D47" s="414">
        <v>8248</v>
      </c>
      <c r="E47" s="483">
        <v>7</v>
      </c>
      <c r="F47" s="414">
        <f>5075+2458</f>
        <v>7533</v>
      </c>
      <c r="G47" s="483">
        <f t="shared" si="3"/>
        <v>0</v>
      </c>
      <c r="H47" s="414">
        <f t="shared" si="4"/>
        <v>-715</v>
      </c>
      <c r="I47" s="483"/>
      <c r="J47" s="483">
        <v>-1</v>
      </c>
      <c r="K47" s="483"/>
      <c r="L47" s="483"/>
      <c r="M47" s="483"/>
      <c r="N47" s="483">
        <v>-1</v>
      </c>
      <c r="O47" s="483"/>
      <c r="P47" s="483"/>
      <c r="Q47" s="483"/>
      <c r="R47" s="483"/>
      <c r="S47" s="483"/>
      <c r="T47" s="483"/>
      <c r="U47" s="483"/>
      <c r="V47" s="483"/>
      <c r="W47" s="483">
        <f t="shared" si="5"/>
        <v>-2</v>
      </c>
    </row>
    <row r="48" spans="1:23" ht="14.45" customHeight="1" x14ac:dyDescent="0.25">
      <c r="A48" s="9" t="s">
        <v>276</v>
      </c>
      <c r="B48" s="6" t="s">
        <v>1293</v>
      </c>
      <c r="C48" s="9">
        <v>7</v>
      </c>
      <c r="D48" s="414">
        <v>13415</v>
      </c>
      <c r="E48" s="483">
        <v>7</v>
      </c>
      <c r="F48" s="414">
        <f>12210+1550</f>
        <v>13760</v>
      </c>
      <c r="G48" s="483">
        <f t="shared" si="3"/>
        <v>0</v>
      </c>
      <c r="H48" s="414">
        <f t="shared" si="4"/>
        <v>345</v>
      </c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>
        <f t="shared" si="5"/>
        <v>0</v>
      </c>
    </row>
    <row r="49" spans="1:23" ht="14.45" customHeight="1" x14ac:dyDescent="0.25">
      <c r="A49" s="9" t="s">
        <v>1177</v>
      </c>
      <c r="B49" s="6" t="s">
        <v>1293</v>
      </c>
      <c r="C49" s="9">
        <v>1</v>
      </c>
      <c r="D49" s="414">
        <v>2300</v>
      </c>
      <c r="E49" s="483">
        <v>1</v>
      </c>
      <c r="F49" s="414">
        <v>2485</v>
      </c>
      <c r="G49" s="483">
        <f t="shared" si="3"/>
        <v>0</v>
      </c>
      <c r="H49" s="414">
        <f t="shared" si="4"/>
        <v>185</v>
      </c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>
        <f t="shared" si="5"/>
        <v>0</v>
      </c>
    </row>
    <row r="50" spans="1:23" ht="14.45" customHeight="1" x14ac:dyDescent="0.25">
      <c r="A50" s="9" t="s">
        <v>277</v>
      </c>
      <c r="B50" s="6" t="s">
        <v>1293</v>
      </c>
      <c r="C50" s="9">
        <v>6</v>
      </c>
      <c r="D50" s="414">
        <v>9765</v>
      </c>
      <c r="E50" s="483">
        <v>6</v>
      </c>
      <c r="F50" s="414">
        <v>9615</v>
      </c>
      <c r="G50" s="483">
        <f t="shared" si="3"/>
        <v>0</v>
      </c>
      <c r="H50" s="414">
        <f t="shared" si="4"/>
        <v>-150</v>
      </c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>
        <f t="shared" si="5"/>
        <v>0</v>
      </c>
    </row>
    <row r="51" spans="1:23" ht="14.45" customHeight="1" x14ac:dyDescent="0.25">
      <c r="A51" s="9" t="s">
        <v>293</v>
      </c>
      <c r="B51" s="6" t="s">
        <v>60</v>
      </c>
      <c r="C51" s="9">
        <v>10</v>
      </c>
      <c r="D51" s="414">
        <v>15251.250000000004</v>
      </c>
      <c r="E51" s="483">
        <v>10</v>
      </c>
      <c r="F51" s="414">
        <v>15695</v>
      </c>
      <c r="G51" s="483">
        <f t="shared" si="3"/>
        <v>0</v>
      </c>
      <c r="H51" s="414">
        <f t="shared" si="4"/>
        <v>443.74999999999636</v>
      </c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>
        <f t="shared" si="5"/>
        <v>0</v>
      </c>
    </row>
    <row r="52" spans="1:23" ht="15" customHeight="1" x14ac:dyDescent="0.25">
      <c r="A52" s="9" t="s">
        <v>295</v>
      </c>
      <c r="B52" s="6" t="s">
        <v>60</v>
      </c>
      <c r="C52" s="9">
        <v>10</v>
      </c>
      <c r="D52" s="414">
        <v>17451.25</v>
      </c>
      <c r="E52" s="483">
        <v>10</v>
      </c>
      <c r="F52" s="414">
        <f>15695+2200</f>
        <v>17895</v>
      </c>
      <c r="G52" s="483">
        <f t="shared" si="3"/>
        <v>0</v>
      </c>
      <c r="H52" s="414">
        <f t="shared" si="4"/>
        <v>443.75</v>
      </c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>
        <f t="shared" si="5"/>
        <v>0</v>
      </c>
    </row>
    <row r="53" spans="1:23" ht="14.45" customHeight="1" x14ac:dyDescent="0.25">
      <c r="A53" s="9" t="s">
        <v>294</v>
      </c>
      <c r="B53" s="6" t="s">
        <v>60</v>
      </c>
      <c r="C53" s="9">
        <v>10</v>
      </c>
      <c r="D53" s="414">
        <v>14466.900000000001</v>
      </c>
      <c r="E53" s="483">
        <v>10</v>
      </c>
      <c r="F53" s="414">
        <v>14886</v>
      </c>
      <c r="G53" s="483">
        <f t="shared" si="3"/>
        <v>0</v>
      </c>
      <c r="H53" s="414">
        <f t="shared" si="4"/>
        <v>419.09999999999854</v>
      </c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>
        <f t="shared" si="5"/>
        <v>0</v>
      </c>
    </row>
    <row r="54" spans="1:23" ht="14.45" customHeight="1" x14ac:dyDescent="0.25">
      <c r="A54" s="9" t="s">
        <v>187</v>
      </c>
      <c r="B54" s="6" t="s">
        <v>1293</v>
      </c>
      <c r="C54" s="9">
        <v>1</v>
      </c>
      <c r="D54" s="414">
        <v>2415</v>
      </c>
      <c r="E54" s="483">
        <v>1</v>
      </c>
      <c r="F54" s="414">
        <v>2485</v>
      </c>
      <c r="G54" s="483">
        <f t="shared" si="3"/>
        <v>0</v>
      </c>
      <c r="H54" s="414">
        <f t="shared" si="4"/>
        <v>70</v>
      </c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>
        <f t="shared" si="5"/>
        <v>0</v>
      </c>
    </row>
    <row r="55" spans="1:23" ht="14.45" customHeight="1" x14ac:dyDescent="0.25">
      <c r="A55" s="9" t="s">
        <v>317</v>
      </c>
      <c r="B55" s="6" t="s">
        <v>60</v>
      </c>
      <c r="C55" s="9">
        <v>4</v>
      </c>
      <c r="D55" s="414">
        <v>8085</v>
      </c>
      <c r="E55" s="483">
        <v>4</v>
      </c>
      <c r="F55" s="414">
        <v>8320</v>
      </c>
      <c r="G55" s="483">
        <f t="shared" si="3"/>
        <v>0</v>
      </c>
      <c r="H55" s="414">
        <f t="shared" si="4"/>
        <v>235</v>
      </c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>
        <f t="shared" si="5"/>
        <v>0</v>
      </c>
    </row>
    <row r="56" spans="1:23" ht="14.45" customHeight="1" x14ac:dyDescent="0.25">
      <c r="A56" s="9" t="s">
        <v>316</v>
      </c>
      <c r="B56" s="6" t="s">
        <v>1293</v>
      </c>
      <c r="C56" s="9">
        <v>5</v>
      </c>
      <c r="D56" s="414">
        <v>8400</v>
      </c>
      <c r="E56" s="483">
        <v>5</v>
      </c>
      <c r="F56" s="414">
        <v>8210</v>
      </c>
      <c r="G56" s="483">
        <f t="shared" si="3"/>
        <v>0</v>
      </c>
      <c r="H56" s="414">
        <f t="shared" si="4"/>
        <v>-190</v>
      </c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>
        <f t="shared" si="5"/>
        <v>0</v>
      </c>
    </row>
    <row r="57" spans="1:23" ht="14.45" customHeight="1" x14ac:dyDescent="0.25">
      <c r="A57" s="9" t="s">
        <v>371</v>
      </c>
      <c r="B57" s="6" t="s">
        <v>1293</v>
      </c>
      <c r="C57" s="9">
        <v>7</v>
      </c>
      <c r="D57" s="414">
        <v>11056.5</v>
      </c>
      <c r="E57" s="483">
        <v>7</v>
      </c>
      <c r="F57" s="414">
        <v>11768</v>
      </c>
      <c r="G57" s="483">
        <f t="shared" si="3"/>
        <v>0</v>
      </c>
      <c r="H57" s="414">
        <f t="shared" si="4"/>
        <v>711.5</v>
      </c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>
        <f t="shared" si="5"/>
        <v>0</v>
      </c>
    </row>
    <row r="58" spans="1:23" ht="14.45" customHeight="1" x14ac:dyDescent="0.25">
      <c r="A58" s="9" t="s">
        <v>232</v>
      </c>
      <c r="B58" s="6" t="s">
        <v>60</v>
      </c>
      <c r="C58" s="9">
        <v>8</v>
      </c>
      <c r="D58" s="414">
        <v>11201</v>
      </c>
      <c r="E58" s="483">
        <v>8</v>
      </c>
      <c r="F58" s="414">
        <v>11484</v>
      </c>
      <c r="G58" s="483">
        <f t="shared" si="3"/>
        <v>0</v>
      </c>
      <c r="H58" s="414">
        <f t="shared" si="4"/>
        <v>283</v>
      </c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>
        <f t="shared" si="5"/>
        <v>0</v>
      </c>
    </row>
    <row r="59" spans="1:23" ht="14.45" customHeight="1" x14ac:dyDescent="0.25">
      <c r="A59" s="9" t="s">
        <v>304</v>
      </c>
      <c r="B59" s="6" t="s">
        <v>60</v>
      </c>
      <c r="C59" s="9">
        <v>1</v>
      </c>
      <c r="D59" s="414">
        <v>840</v>
      </c>
      <c r="E59" s="483">
        <v>1</v>
      </c>
      <c r="F59" s="414">
        <v>430</v>
      </c>
      <c r="G59" s="483">
        <f t="shared" si="3"/>
        <v>0</v>
      </c>
      <c r="H59" s="414">
        <f t="shared" si="4"/>
        <v>-410</v>
      </c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>
        <f t="shared" si="5"/>
        <v>0</v>
      </c>
    </row>
    <row r="60" spans="1:23" ht="14.45" customHeight="1" x14ac:dyDescent="0.25">
      <c r="A60" s="9" t="s">
        <v>223</v>
      </c>
      <c r="B60" s="6" t="s">
        <v>60</v>
      </c>
      <c r="C60" s="9">
        <v>2</v>
      </c>
      <c r="D60" s="414">
        <v>1260</v>
      </c>
      <c r="E60" s="483">
        <v>2</v>
      </c>
      <c r="F60" s="414">
        <v>860</v>
      </c>
      <c r="G60" s="483">
        <f t="shared" si="3"/>
        <v>0</v>
      </c>
      <c r="H60" s="414">
        <f t="shared" si="4"/>
        <v>-400</v>
      </c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>
        <f t="shared" si="5"/>
        <v>0</v>
      </c>
    </row>
    <row r="61" spans="1:23" ht="14.45" customHeight="1" x14ac:dyDescent="0.25">
      <c r="A61" s="9" t="s">
        <v>348</v>
      </c>
      <c r="B61" s="6" t="s">
        <v>115</v>
      </c>
      <c r="C61" s="9">
        <v>1</v>
      </c>
      <c r="D61" s="414">
        <v>1890</v>
      </c>
      <c r="E61" s="483">
        <v>1</v>
      </c>
      <c r="F61" s="414">
        <v>2485</v>
      </c>
      <c r="G61" s="483">
        <f t="shared" si="3"/>
        <v>0</v>
      </c>
      <c r="H61" s="414">
        <f t="shared" si="4"/>
        <v>595</v>
      </c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>
        <f t="shared" si="5"/>
        <v>0</v>
      </c>
    </row>
    <row r="62" spans="1:23" ht="15" customHeight="1" x14ac:dyDescent="0.25">
      <c r="A62" s="9" t="s">
        <v>1144</v>
      </c>
      <c r="B62" s="6" t="s">
        <v>60</v>
      </c>
      <c r="C62" s="9">
        <v>5</v>
      </c>
      <c r="D62" s="414">
        <v>7750</v>
      </c>
      <c r="E62" s="483">
        <v>5</v>
      </c>
      <c r="F62" s="414">
        <v>7975</v>
      </c>
      <c r="G62" s="483">
        <f t="shared" si="3"/>
        <v>0</v>
      </c>
      <c r="H62" s="414">
        <f t="shared" si="4"/>
        <v>225</v>
      </c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>
        <f t="shared" si="5"/>
        <v>0</v>
      </c>
    </row>
    <row r="63" spans="1:23" ht="14.45" customHeight="1" x14ac:dyDescent="0.25">
      <c r="A63" s="9" t="s">
        <v>1457</v>
      </c>
      <c r="B63" s="6" t="s">
        <v>60</v>
      </c>
      <c r="C63" s="9">
        <v>9</v>
      </c>
      <c r="D63" s="414">
        <v>12595</v>
      </c>
      <c r="E63" s="483">
        <v>9</v>
      </c>
      <c r="F63" s="414">
        <v>10598</v>
      </c>
      <c r="G63" s="483">
        <f t="shared" si="3"/>
        <v>0</v>
      </c>
      <c r="H63" s="414">
        <f t="shared" si="4"/>
        <v>-1997</v>
      </c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>
        <f t="shared" si="5"/>
        <v>0</v>
      </c>
    </row>
    <row r="64" spans="1:23" ht="14.45" customHeight="1" x14ac:dyDescent="0.25">
      <c r="A64" s="9" t="s">
        <v>692</v>
      </c>
      <c r="B64" s="6" t="s">
        <v>1293</v>
      </c>
      <c r="C64" s="9">
        <v>5</v>
      </c>
      <c r="D64" s="414">
        <v>9950</v>
      </c>
      <c r="E64" s="483">
        <v>5</v>
      </c>
      <c r="F64" s="414">
        <v>10175</v>
      </c>
      <c r="G64" s="483">
        <f t="shared" si="3"/>
        <v>0</v>
      </c>
      <c r="H64" s="414">
        <f t="shared" si="4"/>
        <v>225</v>
      </c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>
        <f t="shared" si="5"/>
        <v>0</v>
      </c>
    </row>
    <row r="65" spans="1:23" ht="14.45" customHeight="1" x14ac:dyDescent="0.25">
      <c r="A65" s="9" t="s">
        <v>227</v>
      </c>
      <c r="B65" s="6" t="s">
        <v>60</v>
      </c>
      <c r="C65" s="9">
        <v>5</v>
      </c>
      <c r="D65" s="414">
        <v>7362.5</v>
      </c>
      <c r="E65" s="483">
        <v>5</v>
      </c>
      <c r="F65" s="414">
        <v>7576</v>
      </c>
      <c r="G65" s="483">
        <f t="shared" si="3"/>
        <v>0</v>
      </c>
      <c r="H65" s="414">
        <f t="shared" si="4"/>
        <v>213.5</v>
      </c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>
        <f t="shared" si="5"/>
        <v>0</v>
      </c>
    </row>
    <row r="66" spans="1:23" ht="14.45" customHeight="1" x14ac:dyDescent="0.25">
      <c r="A66" s="9" t="s">
        <v>1151</v>
      </c>
      <c r="B66" s="6" t="s">
        <v>60</v>
      </c>
      <c r="C66" s="9">
        <v>1</v>
      </c>
      <c r="D66" s="414">
        <v>1472.5</v>
      </c>
      <c r="E66" s="483">
        <v>1</v>
      </c>
      <c r="F66" s="414">
        <v>1515</v>
      </c>
      <c r="G66" s="483">
        <f t="shared" ref="G66:G85" si="6">E66-C66</f>
        <v>0</v>
      </c>
      <c r="H66" s="414">
        <f t="shared" ref="H66:H85" si="7">F66-D66</f>
        <v>42.5</v>
      </c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>
        <f t="shared" ref="W66:W85" si="8">SUM(I66:V66)</f>
        <v>0</v>
      </c>
    </row>
    <row r="67" spans="1:23" ht="14.45" customHeight="1" x14ac:dyDescent="0.25">
      <c r="A67" s="9" t="s">
        <v>44</v>
      </c>
      <c r="B67" s="6" t="s">
        <v>1293</v>
      </c>
      <c r="C67" s="9">
        <v>8</v>
      </c>
      <c r="D67" s="414">
        <v>8694</v>
      </c>
      <c r="E67" s="483">
        <v>8</v>
      </c>
      <c r="F67" s="414">
        <v>8942</v>
      </c>
      <c r="G67" s="483">
        <f t="shared" si="6"/>
        <v>0</v>
      </c>
      <c r="H67" s="414">
        <f t="shared" si="7"/>
        <v>248</v>
      </c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>
        <f t="shared" si="8"/>
        <v>0</v>
      </c>
    </row>
    <row r="68" spans="1:23" ht="14.45" customHeight="1" x14ac:dyDescent="0.25">
      <c r="A68" s="9" t="s">
        <v>1174</v>
      </c>
      <c r="B68" s="6" t="s">
        <v>1293</v>
      </c>
      <c r="C68" s="9">
        <v>5</v>
      </c>
      <c r="D68" s="414">
        <v>7750</v>
      </c>
      <c r="E68" s="483">
        <v>5</v>
      </c>
      <c r="F68" s="414">
        <v>7975</v>
      </c>
      <c r="G68" s="483">
        <f t="shared" si="6"/>
        <v>0</v>
      </c>
      <c r="H68" s="414">
        <f t="shared" si="7"/>
        <v>225</v>
      </c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>
        <f t="shared" si="8"/>
        <v>0</v>
      </c>
    </row>
    <row r="69" spans="1:23" ht="14.45" customHeight="1" x14ac:dyDescent="0.25">
      <c r="A69" s="9" t="s">
        <v>178</v>
      </c>
      <c r="B69" s="6" t="s">
        <v>60</v>
      </c>
      <c r="C69" s="9">
        <v>5</v>
      </c>
      <c r="D69" s="414">
        <v>7875</v>
      </c>
      <c r="E69" s="483">
        <v>5</v>
      </c>
      <c r="F69" s="414">
        <v>7975</v>
      </c>
      <c r="G69" s="483">
        <f t="shared" si="6"/>
        <v>0</v>
      </c>
      <c r="H69" s="414">
        <f t="shared" si="7"/>
        <v>100</v>
      </c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>
        <f t="shared" si="8"/>
        <v>0</v>
      </c>
    </row>
    <row r="70" spans="1:23" ht="14.45" customHeight="1" x14ac:dyDescent="0.25">
      <c r="A70" s="9" t="s">
        <v>288</v>
      </c>
      <c r="B70" s="6" t="s">
        <v>60</v>
      </c>
      <c r="C70" s="9">
        <v>11</v>
      </c>
      <c r="D70" s="414">
        <f>14459+2200</f>
        <v>16659</v>
      </c>
      <c r="E70" s="483">
        <v>11</v>
      </c>
      <c r="F70" s="414">
        <f>18284+2200</f>
        <v>20484</v>
      </c>
      <c r="G70" s="483">
        <f t="shared" si="6"/>
        <v>0</v>
      </c>
      <c r="H70" s="414">
        <f t="shared" si="7"/>
        <v>3825</v>
      </c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>
        <f t="shared" si="8"/>
        <v>0</v>
      </c>
    </row>
    <row r="71" spans="1:23" ht="15" customHeight="1" x14ac:dyDescent="0.25">
      <c r="A71" s="9" t="s">
        <v>308</v>
      </c>
      <c r="B71" s="6" t="s">
        <v>60</v>
      </c>
      <c r="C71" s="9">
        <v>10</v>
      </c>
      <c r="D71" s="414">
        <v>19372.5</v>
      </c>
      <c r="E71" s="483">
        <v>10</v>
      </c>
      <c r="F71" s="414">
        <v>19449</v>
      </c>
      <c r="G71" s="483">
        <f t="shared" si="6"/>
        <v>0</v>
      </c>
      <c r="H71" s="414">
        <f t="shared" si="7"/>
        <v>76.5</v>
      </c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>
        <f t="shared" si="8"/>
        <v>0</v>
      </c>
    </row>
    <row r="72" spans="1:23" ht="14.45" customHeight="1" x14ac:dyDescent="0.25">
      <c r="A72" s="9" t="s">
        <v>338</v>
      </c>
      <c r="B72" s="9" t="s">
        <v>115</v>
      </c>
      <c r="C72" s="9">
        <v>7</v>
      </c>
      <c r="D72" s="414">
        <v>11434.5</v>
      </c>
      <c r="E72" s="24">
        <v>7</v>
      </c>
      <c r="F72" s="414">
        <f>15462-2237</f>
        <v>13225</v>
      </c>
      <c r="G72" s="24">
        <f t="shared" si="6"/>
        <v>0</v>
      </c>
      <c r="H72" s="414">
        <f t="shared" si="7"/>
        <v>1790.5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483"/>
      <c r="U72" s="483"/>
      <c r="V72" s="24"/>
      <c r="W72" s="24">
        <f t="shared" si="8"/>
        <v>0</v>
      </c>
    </row>
    <row r="73" spans="1:23" ht="14.45" customHeight="1" x14ac:dyDescent="0.25">
      <c r="A73" s="9" t="s">
        <v>1157</v>
      </c>
      <c r="B73" s="6" t="s">
        <v>1293</v>
      </c>
      <c r="C73" s="9">
        <v>2</v>
      </c>
      <c r="D73" s="414">
        <v>3100</v>
      </c>
      <c r="E73" s="24">
        <v>2</v>
      </c>
      <c r="F73" s="414">
        <v>3190</v>
      </c>
      <c r="G73" s="24">
        <f t="shared" si="6"/>
        <v>0</v>
      </c>
      <c r="H73" s="414">
        <f t="shared" si="7"/>
        <v>90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483"/>
      <c r="U73" s="483"/>
      <c r="V73" s="24"/>
      <c r="W73" s="24">
        <f t="shared" si="8"/>
        <v>0</v>
      </c>
    </row>
    <row r="74" spans="1:23" ht="14.45" customHeight="1" x14ac:dyDescent="0.25">
      <c r="A74" s="9" t="s">
        <v>1156</v>
      </c>
      <c r="B74" s="6" t="s">
        <v>1293</v>
      </c>
      <c r="C74" s="9">
        <v>1</v>
      </c>
      <c r="D74" s="414">
        <v>1550</v>
      </c>
      <c r="E74" s="24">
        <v>1</v>
      </c>
      <c r="F74" s="414">
        <v>1595</v>
      </c>
      <c r="G74" s="24">
        <f t="shared" si="6"/>
        <v>0</v>
      </c>
      <c r="H74" s="414">
        <f t="shared" si="7"/>
        <v>45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483"/>
      <c r="U74" s="483"/>
      <c r="V74" s="24"/>
      <c r="W74" s="24">
        <f t="shared" si="8"/>
        <v>0</v>
      </c>
    </row>
    <row r="75" spans="1:23" ht="14.45" customHeight="1" x14ac:dyDescent="0.25">
      <c r="A75" s="9" t="s">
        <v>1158</v>
      </c>
      <c r="B75" s="6" t="s">
        <v>1293</v>
      </c>
      <c r="C75" s="9">
        <v>1</v>
      </c>
      <c r="D75" s="414">
        <v>1550</v>
      </c>
      <c r="E75" s="24">
        <v>1</v>
      </c>
      <c r="F75" s="414">
        <v>1595</v>
      </c>
      <c r="G75" s="24">
        <f t="shared" si="6"/>
        <v>0</v>
      </c>
      <c r="H75" s="414">
        <f t="shared" si="7"/>
        <v>45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483"/>
      <c r="U75" s="483"/>
      <c r="V75" s="24"/>
      <c r="W75" s="24">
        <f t="shared" si="8"/>
        <v>0</v>
      </c>
    </row>
    <row r="76" spans="1:23" ht="14.45" customHeight="1" x14ac:dyDescent="0.25">
      <c r="A76" s="9" t="s">
        <v>1153</v>
      </c>
      <c r="B76" s="6" t="s">
        <v>115</v>
      </c>
      <c r="C76" s="9">
        <v>3</v>
      </c>
      <c r="D76" s="414">
        <v>4650</v>
      </c>
      <c r="E76" s="24">
        <v>3</v>
      </c>
      <c r="F76" s="414">
        <v>4785</v>
      </c>
      <c r="G76" s="24">
        <f t="shared" si="6"/>
        <v>0</v>
      </c>
      <c r="H76" s="414">
        <f t="shared" si="7"/>
        <v>135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483"/>
      <c r="U76" s="483"/>
      <c r="V76" s="24"/>
      <c r="W76" s="24">
        <f t="shared" si="8"/>
        <v>0</v>
      </c>
    </row>
    <row r="77" spans="1:23" ht="14.45" customHeight="1" x14ac:dyDescent="0.25">
      <c r="A77" s="9" t="s">
        <v>287</v>
      </c>
      <c r="B77" s="6" t="s">
        <v>60</v>
      </c>
      <c r="C77" s="9">
        <v>2</v>
      </c>
      <c r="D77" s="414">
        <v>3100</v>
      </c>
      <c r="E77" s="24">
        <v>2</v>
      </c>
      <c r="F77" s="414">
        <v>3190</v>
      </c>
      <c r="G77" s="24">
        <f t="shared" si="6"/>
        <v>0</v>
      </c>
      <c r="H77" s="414">
        <f t="shared" si="7"/>
        <v>90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483"/>
      <c r="U77" s="483"/>
      <c r="V77" s="24"/>
      <c r="W77" s="24">
        <f t="shared" si="8"/>
        <v>0</v>
      </c>
    </row>
    <row r="78" spans="1:23" ht="14.45" customHeight="1" x14ac:dyDescent="0.25">
      <c r="A78" s="9" t="s">
        <v>45</v>
      </c>
      <c r="B78" s="6" t="s">
        <v>115</v>
      </c>
      <c r="C78" s="9">
        <v>9</v>
      </c>
      <c r="D78" s="414">
        <v>13135.5</v>
      </c>
      <c r="E78" s="24">
        <v>9</v>
      </c>
      <c r="F78" s="414">
        <v>13514</v>
      </c>
      <c r="G78" s="24">
        <f t="shared" si="6"/>
        <v>0</v>
      </c>
      <c r="H78" s="414">
        <f t="shared" si="7"/>
        <v>378.5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483"/>
      <c r="U78" s="483"/>
      <c r="V78" s="24"/>
      <c r="W78" s="24">
        <f t="shared" si="8"/>
        <v>0</v>
      </c>
    </row>
    <row r="79" spans="1:23" ht="14.45" customHeight="1" x14ac:dyDescent="0.25">
      <c r="A79" s="9" t="s">
        <v>291</v>
      </c>
      <c r="B79" s="6" t="s">
        <v>60</v>
      </c>
      <c r="C79" s="9">
        <v>8</v>
      </c>
      <c r="D79" s="414">
        <v>11907</v>
      </c>
      <c r="E79" s="483">
        <v>8</v>
      </c>
      <c r="F79" s="414">
        <v>10791</v>
      </c>
      <c r="G79" s="483">
        <f t="shared" ref="G79:H81" si="9">E79-C79</f>
        <v>0</v>
      </c>
      <c r="H79" s="414">
        <f t="shared" si="9"/>
        <v>-1116</v>
      </c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>
        <f>SUM(I79:V79)</f>
        <v>0</v>
      </c>
    </row>
    <row r="80" spans="1:23" ht="14.45" customHeight="1" x14ac:dyDescent="0.25">
      <c r="A80" s="9" t="s">
        <v>42</v>
      </c>
      <c r="B80" s="6" t="s">
        <v>60</v>
      </c>
      <c r="C80" s="9">
        <v>8</v>
      </c>
      <c r="D80" s="414">
        <v>11529</v>
      </c>
      <c r="E80" s="483">
        <v>8</v>
      </c>
      <c r="F80" s="414">
        <v>12155</v>
      </c>
      <c r="G80" s="483">
        <f t="shared" si="9"/>
        <v>0</v>
      </c>
      <c r="H80" s="414">
        <f t="shared" si="9"/>
        <v>626</v>
      </c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>
        <f>SUM(I80:V80)</f>
        <v>0</v>
      </c>
    </row>
    <row r="81" spans="1:23" ht="14.45" customHeight="1" x14ac:dyDescent="0.25">
      <c r="A81" s="483" t="s">
        <v>1468</v>
      </c>
      <c r="B81" s="483"/>
      <c r="C81" s="483"/>
      <c r="D81" s="414"/>
      <c r="E81" s="483"/>
      <c r="F81" s="414">
        <v>2200</v>
      </c>
      <c r="G81" s="483">
        <f t="shared" si="9"/>
        <v>0</v>
      </c>
      <c r="H81" s="414">
        <f t="shared" si="9"/>
        <v>2200</v>
      </c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>
        <f>SUM(I81:V81)</f>
        <v>0</v>
      </c>
    </row>
    <row r="82" spans="1:23" ht="14.45" customHeight="1" x14ac:dyDescent="0.25">
      <c r="A82" s="9"/>
      <c r="B82" s="6"/>
      <c r="C82" s="9"/>
      <c r="D82" s="414"/>
      <c r="E82" s="483"/>
      <c r="F82" s="414"/>
      <c r="G82" s="483"/>
      <c r="H82" s="414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</row>
    <row r="83" spans="1:23" ht="14.45" customHeight="1" x14ac:dyDescent="0.25">
      <c r="A83" s="9"/>
      <c r="B83" s="6"/>
      <c r="C83" s="9"/>
      <c r="D83" s="414"/>
      <c r="E83" s="24"/>
      <c r="F83" s="414"/>
      <c r="G83" s="24"/>
      <c r="H83" s="41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483"/>
      <c r="U83" s="483"/>
      <c r="V83" s="24"/>
      <c r="W83" s="24"/>
    </row>
    <row r="84" spans="1:23" ht="14.45" customHeight="1" x14ac:dyDescent="0.25">
      <c r="A84" s="24"/>
      <c r="B84" s="24"/>
      <c r="C84" s="24"/>
      <c r="D84" s="414"/>
      <c r="E84" s="24"/>
      <c r="F84" s="414"/>
      <c r="G84" s="24">
        <f t="shared" si="6"/>
        <v>0</v>
      </c>
      <c r="H84" s="414">
        <f t="shared" si="7"/>
        <v>0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483"/>
      <c r="U84" s="483"/>
      <c r="V84" s="24"/>
      <c r="W84" s="24">
        <f t="shared" si="8"/>
        <v>0</v>
      </c>
    </row>
    <row r="85" spans="1:23" ht="15" customHeight="1" x14ac:dyDescent="0.25">
      <c r="A85" s="24"/>
      <c r="B85" s="24"/>
      <c r="C85" s="24"/>
      <c r="D85" s="414"/>
      <c r="E85" s="24"/>
      <c r="F85" s="414"/>
      <c r="G85" s="24">
        <f t="shared" si="6"/>
        <v>0</v>
      </c>
      <c r="H85" s="414">
        <f t="shared" si="7"/>
        <v>0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483"/>
      <c r="U85" s="483"/>
      <c r="V85" s="24"/>
      <c r="W85" s="24">
        <f t="shared" si="8"/>
        <v>0</v>
      </c>
    </row>
    <row r="86" spans="1:23" ht="15" customHeight="1" x14ac:dyDescent="0.25">
      <c r="A86" s="443" t="s">
        <v>1221</v>
      </c>
      <c r="B86" s="444"/>
      <c r="C86" s="474">
        <f t="shared" ref="C86:H86" si="10">SUM(C5:C85)</f>
        <v>376</v>
      </c>
      <c r="D86" s="474">
        <f t="shared" si="10"/>
        <v>563213.4</v>
      </c>
      <c r="E86" s="474">
        <f t="shared" si="10"/>
        <v>376</v>
      </c>
      <c r="F86" s="474">
        <f t="shared" si="10"/>
        <v>579321</v>
      </c>
      <c r="G86" s="512">
        <f t="shared" si="10"/>
        <v>0</v>
      </c>
      <c r="H86" s="512">
        <f t="shared" si="10"/>
        <v>16107.599999999995</v>
      </c>
      <c r="I86" s="447">
        <f t="shared" ref="I86:W86" si="11">SUM(I72:I85)</f>
        <v>0</v>
      </c>
      <c r="J86" s="447">
        <f t="shared" si="11"/>
        <v>0</v>
      </c>
      <c r="K86" s="447">
        <f t="shared" si="11"/>
        <v>0</v>
      </c>
      <c r="L86" s="447">
        <f t="shared" si="11"/>
        <v>0</v>
      </c>
      <c r="M86" s="447">
        <f t="shared" si="11"/>
        <v>0</v>
      </c>
      <c r="N86" s="447">
        <f t="shared" si="11"/>
        <v>0</v>
      </c>
      <c r="O86" s="447">
        <f t="shared" si="11"/>
        <v>0</v>
      </c>
      <c r="P86" s="447">
        <f t="shared" si="11"/>
        <v>0</v>
      </c>
      <c r="Q86" s="447">
        <f t="shared" si="11"/>
        <v>0</v>
      </c>
      <c r="R86" s="447">
        <f t="shared" si="11"/>
        <v>0</v>
      </c>
      <c r="S86" s="447">
        <f t="shared" si="11"/>
        <v>0</v>
      </c>
      <c r="T86" s="447">
        <f t="shared" ref="T86:U86" si="12">SUM(T72:T85)</f>
        <v>0</v>
      </c>
      <c r="U86" s="447">
        <f t="shared" si="12"/>
        <v>0</v>
      </c>
      <c r="V86" s="447">
        <f t="shared" si="11"/>
        <v>0</v>
      </c>
      <c r="W86" s="447">
        <f t="shared" si="11"/>
        <v>0</v>
      </c>
    </row>
    <row r="88" spans="1:23" x14ac:dyDescent="0.25">
      <c r="A88" s="739" t="s">
        <v>1227</v>
      </c>
      <c r="B88" s="739"/>
    </row>
    <row r="89" spans="1:23" ht="30" x14ac:dyDescent="0.25">
      <c r="A89" s="449" t="s">
        <v>1</v>
      </c>
      <c r="B89" s="449" t="s">
        <v>59</v>
      </c>
      <c r="C89" s="425" t="s">
        <v>1222</v>
      </c>
      <c r="D89" s="425" t="s">
        <v>1223</v>
      </c>
      <c r="E89" s="425" t="s">
        <v>392</v>
      </c>
      <c r="F89" s="426" t="s">
        <v>2</v>
      </c>
      <c r="G89" s="432" t="s">
        <v>1225</v>
      </c>
      <c r="H89" s="427" t="s">
        <v>1224</v>
      </c>
      <c r="I89" s="424" t="s">
        <v>681</v>
      </c>
      <c r="J89" s="424" t="s">
        <v>77</v>
      </c>
      <c r="K89" s="424" t="s">
        <v>682</v>
      </c>
      <c r="L89" s="424" t="s">
        <v>683</v>
      </c>
      <c r="M89" s="424" t="s">
        <v>87</v>
      </c>
      <c r="N89" s="424" t="s">
        <v>684</v>
      </c>
      <c r="O89" s="424" t="s">
        <v>685</v>
      </c>
      <c r="P89" s="424" t="s">
        <v>690</v>
      </c>
      <c r="Q89" s="424" t="s">
        <v>686</v>
      </c>
      <c r="R89" s="424" t="s">
        <v>687</v>
      </c>
      <c r="S89" s="424" t="s">
        <v>688</v>
      </c>
      <c r="T89" s="424" t="s">
        <v>689</v>
      </c>
      <c r="U89" s="424" t="s">
        <v>138</v>
      </c>
      <c r="V89" s="424" t="s">
        <v>1385</v>
      </c>
      <c r="W89" s="424" t="s">
        <v>1238</v>
      </c>
    </row>
    <row r="90" spans="1:23" ht="15" customHeight="1" x14ac:dyDescent="0.25">
      <c r="A90" s="517" t="s">
        <v>1421</v>
      </c>
      <c r="B90" s="24" t="s">
        <v>60</v>
      </c>
      <c r="C90" s="430">
        <v>42269</v>
      </c>
      <c r="D90" s="431">
        <v>42300</v>
      </c>
      <c r="E90" s="421">
        <v>30</v>
      </c>
      <c r="F90" s="431">
        <v>42370</v>
      </c>
      <c r="G90" s="421">
        <v>1</v>
      </c>
      <c r="H90" s="28">
        <v>1945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>
        <v>1</v>
      </c>
      <c r="T90" s="483"/>
      <c r="U90" s="483"/>
      <c r="V90" s="24"/>
      <c r="W90" s="24">
        <f t="shared" ref="W90" si="13">SUM(I90:V90)</f>
        <v>1</v>
      </c>
    </row>
    <row r="91" spans="1:23" ht="15" customHeight="1" x14ac:dyDescent="0.25">
      <c r="A91" s="517" t="s">
        <v>1437</v>
      </c>
      <c r="B91" s="483" t="s">
        <v>115</v>
      </c>
      <c r="C91" s="487">
        <v>42318</v>
      </c>
      <c r="D91" s="488">
        <v>42331</v>
      </c>
      <c r="E91" s="486">
        <v>13</v>
      </c>
      <c r="F91" s="488">
        <v>42339</v>
      </c>
      <c r="G91" s="486">
        <v>3</v>
      </c>
      <c r="H91" s="485">
        <v>4785</v>
      </c>
      <c r="I91" s="483">
        <v>1</v>
      </c>
      <c r="J91" s="483">
        <v>1</v>
      </c>
      <c r="K91" s="483"/>
      <c r="L91" s="483"/>
      <c r="M91" s="483">
        <v>1</v>
      </c>
      <c r="N91" s="483"/>
      <c r="O91" s="483"/>
      <c r="P91" s="483"/>
      <c r="Q91" s="483"/>
      <c r="R91" s="483"/>
      <c r="S91" s="483"/>
      <c r="T91" s="483"/>
      <c r="U91" s="483"/>
      <c r="V91" s="483"/>
      <c r="W91" s="483">
        <f>SUM(I91:V91)</f>
        <v>3</v>
      </c>
    </row>
    <row r="92" spans="1:23" ht="15" customHeight="1" x14ac:dyDescent="0.25">
      <c r="A92" s="517" t="s">
        <v>1438</v>
      </c>
      <c r="B92" s="483" t="s">
        <v>1293</v>
      </c>
      <c r="C92" s="487">
        <v>42243</v>
      </c>
      <c r="D92" s="488">
        <v>42328</v>
      </c>
      <c r="E92" s="486">
        <v>53</v>
      </c>
      <c r="F92" s="488">
        <v>42369</v>
      </c>
      <c r="G92" s="486">
        <v>5</v>
      </c>
      <c r="H92" s="485">
        <v>5405</v>
      </c>
      <c r="I92" s="483">
        <v>1</v>
      </c>
      <c r="J92" s="483">
        <v>1</v>
      </c>
      <c r="K92" s="483">
        <v>1</v>
      </c>
      <c r="L92" s="483">
        <v>1</v>
      </c>
      <c r="M92" s="483"/>
      <c r="N92" s="483">
        <v>1</v>
      </c>
      <c r="O92" s="483"/>
      <c r="P92" s="483"/>
      <c r="Q92" s="483"/>
      <c r="R92" s="483"/>
      <c r="S92" s="483"/>
      <c r="T92" s="483"/>
      <c r="U92" s="483"/>
      <c r="V92" s="483"/>
      <c r="W92" s="483">
        <f>SUM(I92:V92)</f>
        <v>5</v>
      </c>
    </row>
    <row r="93" spans="1:23" ht="15" customHeight="1" x14ac:dyDescent="0.25">
      <c r="A93" s="517" t="s">
        <v>1439</v>
      </c>
      <c r="B93" s="483" t="s">
        <v>1293</v>
      </c>
      <c r="C93" s="487">
        <v>42243</v>
      </c>
      <c r="D93" s="488">
        <v>42332</v>
      </c>
      <c r="E93" s="486">
        <v>57</v>
      </c>
      <c r="F93" s="488">
        <v>42369</v>
      </c>
      <c r="G93" s="486">
        <v>6</v>
      </c>
      <c r="H93" s="485">
        <v>6270</v>
      </c>
      <c r="I93" s="483">
        <v>1</v>
      </c>
      <c r="J93" s="483">
        <v>1</v>
      </c>
      <c r="K93" s="483">
        <v>1</v>
      </c>
      <c r="L93" s="483">
        <v>1</v>
      </c>
      <c r="M93" s="483">
        <v>1</v>
      </c>
      <c r="N93" s="483">
        <v>1</v>
      </c>
      <c r="O93" s="483"/>
      <c r="P93" s="483"/>
      <c r="Q93" s="483"/>
      <c r="R93" s="483"/>
      <c r="S93" s="483"/>
      <c r="T93" s="483"/>
      <c r="U93" s="483"/>
      <c r="V93" s="483"/>
      <c r="W93" s="483">
        <f>SUM(I93:V93)</f>
        <v>6</v>
      </c>
    </row>
    <row r="94" spans="1:23" ht="15" customHeight="1" x14ac:dyDescent="0.25">
      <c r="A94" s="517" t="s">
        <v>1461</v>
      </c>
      <c r="B94" s="483" t="s">
        <v>1293</v>
      </c>
      <c r="C94" s="487">
        <v>42342</v>
      </c>
      <c r="D94" s="488">
        <v>42348</v>
      </c>
      <c r="E94" s="486">
        <v>6</v>
      </c>
      <c r="F94" s="488">
        <v>42348</v>
      </c>
      <c r="G94" s="486">
        <v>3</v>
      </c>
      <c r="H94" s="485">
        <v>4785</v>
      </c>
      <c r="I94" s="483">
        <v>1</v>
      </c>
      <c r="J94" s="483"/>
      <c r="K94" s="483">
        <v>1</v>
      </c>
      <c r="L94" s="483"/>
      <c r="M94" s="483"/>
      <c r="N94" s="483">
        <v>1</v>
      </c>
      <c r="O94" s="483"/>
      <c r="P94" s="483"/>
      <c r="Q94" s="483"/>
      <c r="R94" s="483"/>
      <c r="S94" s="483"/>
      <c r="T94" s="483"/>
      <c r="U94" s="483"/>
      <c r="V94" s="483"/>
      <c r="W94" s="483">
        <v>3</v>
      </c>
    </row>
    <row r="95" spans="1:23" ht="15" customHeight="1" x14ac:dyDescent="0.25">
      <c r="A95" s="517" t="s">
        <v>1464</v>
      </c>
      <c r="B95" s="483" t="s">
        <v>60</v>
      </c>
      <c r="C95" s="487">
        <v>42221</v>
      </c>
      <c r="D95" s="488">
        <v>42356</v>
      </c>
      <c r="E95" s="486">
        <v>133</v>
      </c>
      <c r="F95" s="488">
        <v>42300</v>
      </c>
      <c r="G95" s="486">
        <v>1</v>
      </c>
      <c r="H95" s="485">
        <v>1890</v>
      </c>
      <c r="I95" s="483"/>
      <c r="J95" s="483"/>
      <c r="K95" s="483"/>
      <c r="L95" s="483"/>
      <c r="M95" s="483">
        <v>1</v>
      </c>
      <c r="N95" s="483"/>
      <c r="O95" s="483"/>
      <c r="P95" s="483"/>
      <c r="Q95" s="483"/>
      <c r="R95" s="483"/>
      <c r="S95" s="483"/>
      <c r="T95" s="483"/>
      <c r="U95" s="483"/>
      <c r="V95" s="483"/>
      <c r="W95" s="483">
        <v>1</v>
      </c>
    </row>
    <row r="96" spans="1:23" ht="15" customHeight="1" x14ac:dyDescent="0.25">
      <c r="A96" s="517" t="s">
        <v>1469</v>
      </c>
      <c r="B96" s="24" t="s">
        <v>115</v>
      </c>
      <c r="C96" s="430">
        <v>41666</v>
      </c>
      <c r="D96" s="431">
        <v>42362</v>
      </c>
      <c r="E96" s="421">
        <v>335</v>
      </c>
      <c r="F96" s="431">
        <v>42338</v>
      </c>
      <c r="G96" s="421">
        <v>3</v>
      </c>
      <c r="H96" s="28">
        <v>4650</v>
      </c>
      <c r="I96" s="24"/>
      <c r="J96" s="24"/>
      <c r="K96" s="24"/>
      <c r="L96" s="24"/>
      <c r="M96" s="24"/>
      <c r="N96" s="24">
        <v>3</v>
      </c>
      <c r="O96" s="24"/>
      <c r="P96" s="24"/>
      <c r="Q96" s="24"/>
      <c r="R96" s="24"/>
      <c r="S96" s="24"/>
      <c r="T96" s="483"/>
      <c r="U96" s="483"/>
      <c r="V96" s="24"/>
      <c r="W96" s="24">
        <v>3</v>
      </c>
    </row>
    <row r="97" spans="1:23" ht="15" customHeight="1" x14ac:dyDescent="0.25">
      <c r="A97" s="517" t="s">
        <v>1472</v>
      </c>
      <c r="B97" s="24" t="s">
        <v>1293</v>
      </c>
      <c r="C97" s="430">
        <v>42326</v>
      </c>
      <c r="D97" s="431">
        <v>42361</v>
      </c>
      <c r="E97" s="421">
        <v>35</v>
      </c>
      <c r="F97" s="431">
        <v>42356</v>
      </c>
      <c r="G97" s="421">
        <v>3</v>
      </c>
      <c r="H97" s="28">
        <v>4785</v>
      </c>
      <c r="I97" s="24">
        <v>1</v>
      </c>
      <c r="J97" s="24">
        <v>1</v>
      </c>
      <c r="K97" s="24"/>
      <c r="L97" s="24"/>
      <c r="M97" s="24"/>
      <c r="N97" s="24"/>
      <c r="O97" s="24"/>
      <c r="P97" s="24"/>
      <c r="Q97" s="24"/>
      <c r="R97" s="24">
        <v>1</v>
      </c>
      <c r="S97" s="24"/>
      <c r="T97" s="483"/>
      <c r="U97" s="483"/>
      <c r="V97" s="24"/>
      <c r="W97" s="24">
        <v>3</v>
      </c>
    </row>
    <row r="98" spans="1:23" ht="15" customHeight="1" x14ac:dyDescent="0.25">
      <c r="A98" s="517" t="s">
        <v>1474</v>
      </c>
      <c r="B98" s="483" t="s">
        <v>115</v>
      </c>
      <c r="C98" s="487">
        <v>42307</v>
      </c>
      <c r="D98" s="488">
        <v>42362</v>
      </c>
      <c r="E98" s="486">
        <v>55</v>
      </c>
      <c r="F98" s="488">
        <v>42356</v>
      </c>
      <c r="G98" s="486">
        <v>3</v>
      </c>
      <c r="H98" s="485">
        <v>4785</v>
      </c>
      <c r="I98" s="483">
        <v>1</v>
      </c>
      <c r="J98" s="483"/>
      <c r="K98" s="483">
        <v>1</v>
      </c>
      <c r="L98" s="483"/>
      <c r="M98" s="483"/>
      <c r="N98" s="483"/>
      <c r="O98" s="483"/>
      <c r="P98" s="483"/>
      <c r="Q98" s="483"/>
      <c r="R98" s="483"/>
      <c r="S98" s="483">
        <v>1</v>
      </c>
      <c r="T98" s="483"/>
      <c r="U98" s="483"/>
      <c r="V98" s="483"/>
      <c r="W98" s="483">
        <v>3</v>
      </c>
    </row>
    <row r="99" spans="1:23" ht="15" customHeight="1" x14ac:dyDescent="0.25">
      <c r="A99" s="27"/>
      <c r="B99" s="24"/>
      <c r="C99" s="430"/>
      <c r="D99" s="431"/>
      <c r="E99" s="421"/>
      <c r="F99" s="431"/>
      <c r="G99" s="421"/>
      <c r="H99" s="28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483"/>
      <c r="U99" s="483"/>
      <c r="V99" s="24"/>
      <c r="W99" s="24"/>
    </row>
    <row r="100" spans="1:23" ht="15" customHeight="1" x14ac:dyDescent="0.25">
      <c r="A100" s="443" t="s">
        <v>1226</v>
      </c>
      <c r="B100" s="444"/>
      <c r="C100" s="445"/>
      <c r="D100" s="446"/>
      <c r="E100" s="447"/>
      <c r="F100" s="446"/>
      <c r="G100" s="447">
        <f t="shared" ref="G100:V100" si="14">SUM(G90:G99)</f>
        <v>28</v>
      </c>
      <c r="H100" s="448">
        <f t="shared" si="14"/>
        <v>39300</v>
      </c>
      <c r="I100" s="447">
        <f t="shared" si="14"/>
        <v>6</v>
      </c>
      <c r="J100" s="447">
        <f t="shared" si="14"/>
        <v>4</v>
      </c>
      <c r="K100" s="447">
        <f t="shared" si="14"/>
        <v>4</v>
      </c>
      <c r="L100" s="447">
        <f t="shared" si="14"/>
        <v>2</v>
      </c>
      <c r="M100" s="447">
        <f t="shared" si="14"/>
        <v>3</v>
      </c>
      <c r="N100" s="447">
        <f t="shared" si="14"/>
        <v>6</v>
      </c>
      <c r="O100" s="447">
        <f t="shared" si="14"/>
        <v>0</v>
      </c>
      <c r="P100" s="447">
        <f t="shared" si="14"/>
        <v>0</v>
      </c>
      <c r="Q100" s="447">
        <f t="shared" si="14"/>
        <v>0</v>
      </c>
      <c r="R100" s="447">
        <f t="shared" si="14"/>
        <v>1</v>
      </c>
      <c r="S100" s="447">
        <f t="shared" si="14"/>
        <v>2</v>
      </c>
      <c r="T100" s="447">
        <f t="shared" si="14"/>
        <v>0</v>
      </c>
      <c r="U100" s="447">
        <f t="shared" si="14"/>
        <v>0</v>
      </c>
      <c r="V100" s="447">
        <f t="shared" si="14"/>
        <v>0</v>
      </c>
      <c r="W100" s="447">
        <f>SUM(W90:W99)</f>
        <v>28</v>
      </c>
    </row>
    <row r="101" spans="1:23" ht="15" customHeight="1" x14ac:dyDescent="0.25">
      <c r="A101" s="428"/>
      <c r="B101" s="422"/>
      <c r="C101" s="422"/>
      <c r="D101" s="429"/>
      <c r="E101" s="422"/>
      <c r="F101" s="429"/>
      <c r="G101" s="433"/>
      <c r="H101" s="422"/>
    </row>
    <row r="102" spans="1:23" x14ac:dyDescent="0.25">
      <c r="A102" s="739" t="s">
        <v>1228</v>
      </c>
      <c r="B102" s="739"/>
      <c r="G102" s="420"/>
    </row>
    <row r="103" spans="1:23" ht="30" x14ac:dyDescent="0.25">
      <c r="A103" s="449" t="s">
        <v>1</v>
      </c>
      <c r="B103" s="449" t="s">
        <v>59</v>
      </c>
      <c r="C103" s="425" t="s">
        <v>1222</v>
      </c>
      <c r="D103" s="425" t="s">
        <v>1223</v>
      </c>
      <c r="E103" s="425" t="s">
        <v>392</v>
      </c>
      <c r="F103" s="426" t="s">
        <v>2</v>
      </c>
      <c r="G103" s="432" t="s">
        <v>1225</v>
      </c>
      <c r="H103" s="427" t="s">
        <v>1224</v>
      </c>
      <c r="I103" s="424" t="s">
        <v>681</v>
      </c>
      <c r="J103" s="424" t="s">
        <v>77</v>
      </c>
      <c r="K103" s="424" t="s">
        <v>682</v>
      </c>
      <c r="L103" s="424" t="s">
        <v>683</v>
      </c>
      <c r="M103" s="424" t="s">
        <v>87</v>
      </c>
      <c r="N103" s="424" t="s">
        <v>684</v>
      </c>
      <c r="O103" s="424" t="s">
        <v>685</v>
      </c>
      <c r="P103" s="424" t="s">
        <v>690</v>
      </c>
      <c r="Q103" s="424" t="s">
        <v>686</v>
      </c>
      <c r="R103" s="424" t="s">
        <v>687</v>
      </c>
      <c r="S103" s="424" t="s">
        <v>688</v>
      </c>
      <c r="T103" s="424" t="s">
        <v>689</v>
      </c>
      <c r="U103" s="424" t="s">
        <v>138</v>
      </c>
      <c r="V103" s="424" t="s">
        <v>1385</v>
      </c>
      <c r="W103" s="424" t="s">
        <v>1238</v>
      </c>
    </row>
    <row r="104" spans="1:23" ht="15" customHeight="1" x14ac:dyDescent="0.25">
      <c r="A104" s="517" t="s">
        <v>52</v>
      </c>
      <c r="B104" s="24" t="s">
        <v>115</v>
      </c>
      <c r="C104" s="430">
        <v>42269</v>
      </c>
      <c r="D104" s="431">
        <v>42317</v>
      </c>
      <c r="E104" s="421">
        <v>45</v>
      </c>
      <c r="F104" s="431">
        <v>42339</v>
      </c>
      <c r="G104" s="421">
        <v>1</v>
      </c>
      <c r="H104" s="414">
        <v>2237</v>
      </c>
      <c r="I104" s="24"/>
      <c r="J104" s="24"/>
      <c r="K104" s="24"/>
      <c r="L104" s="24"/>
      <c r="M104" s="24">
        <v>1</v>
      </c>
      <c r="N104" s="24"/>
      <c r="O104" s="24"/>
      <c r="P104" s="24"/>
      <c r="Q104" s="24"/>
      <c r="R104" s="24"/>
      <c r="S104" s="24"/>
      <c r="T104" s="483"/>
      <c r="U104" s="483"/>
      <c r="V104" s="24"/>
      <c r="W104" s="24">
        <f>SUM(I104:V104)</f>
        <v>1</v>
      </c>
    </row>
    <row r="105" spans="1:23" ht="15" customHeight="1" x14ac:dyDescent="0.25">
      <c r="A105" s="517" t="s">
        <v>1432</v>
      </c>
      <c r="B105" s="24" t="s">
        <v>115</v>
      </c>
      <c r="C105" s="430">
        <v>42277</v>
      </c>
      <c r="D105" s="431">
        <v>42326</v>
      </c>
      <c r="E105" s="421">
        <v>48</v>
      </c>
      <c r="F105" s="431">
        <v>42339</v>
      </c>
      <c r="G105" s="421">
        <v>2</v>
      </c>
      <c r="H105" s="28">
        <v>3100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483"/>
      <c r="U105" s="483">
        <v>1</v>
      </c>
      <c r="V105" s="24">
        <v>1</v>
      </c>
      <c r="W105" s="24">
        <f>SUM(I105:V105)</f>
        <v>2</v>
      </c>
    </row>
    <row r="106" spans="1:23" ht="15" customHeight="1" x14ac:dyDescent="0.25">
      <c r="A106" s="517" t="s">
        <v>866</v>
      </c>
      <c r="B106" s="483" t="s">
        <v>60</v>
      </c>
      <c r="C106" s="487">
        <v>42332</v>
      </c>
      <c r="D106" s="488">
        <v>42340</v>
      </c>
      <c r="E106" s="486">
        <v>8</v>
      </c>
      <c r="F106" s="488">
        <v>42369</v>
      </c>
      <c r="G106" s="486">
        <v>2</v>
      </c>
      <c r="H106" s="485">
        <v>3190</v>
      </c>
      <c r="I106" s="483"/>
      <c r="J106" s="483"/>
      <c r="K106" s="483">
        <v>1</v>
      </c>
      <c r="L106" s="483">
        <v>1</v>
      </c>
      <c r="M106" s="483"/>
      <c r="N106" s="483"/>
      <c r="O106" s="483"/>
      <c r="P106" s="483"/>
      <c r="Q106" s="483"/>
      <c r="R106" s="483"/>
      <c r="S106" s="483"/>
      <c r="T106" s="483"/>
      <c r="U106" s="483"/>
      <c r="V106" s="483"/>
      <c r="W106" s="483">
        <v>2</v>
      </c>
    </row>
    <row r="107" spans="1:23" ht="15" customHeight="1" x14ac:dyDescent="0.25">
      <c r="A107" s="517" t="s">
        <v>1455</v>
      </c>
      <c r="B107" s="24" t="s">
        <v>60</v>
      </c>
      <c r="C107" s="430">
        <v>42314</v>
      </c>
      <c r="D107" s="431">
        <v>42345</v>
      </c>
      <c r="E107" s="421">
        <v>31</v>
      </c>
      <c r="F107" s="431">
        <v>42345</v>
      </c>
      <c r="G107" s="421">
        <v>2</v>
      </c>
      <c r="H107" s="28">
        <v>3100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483"/>
      <c r="U107" s="483">
        <v>1</v>
      </c>
      <c r="V107" s="24">
        <v>1</v>
      </c>
      <c r="W107" s="24">
        <f t="shared" ref="W107:W114" si="15">SUM(I107:V107)</f>
        <v>2</v>
      </c>
    </row>
    <row r="108" spans="1:23" ht="15" customHeight="1" x14ac:dyDescent="0.25">
      <c r="A108" s="517" t="s">
        <v>1456</v>
      </c>
      <c r="B108" s="24" t="s">
        <v>60</v>
      </c>
      <c r="C108" s="430">
        <v>42250</v>
      </c>
      <c r="D108" s="431">
        <v>42347</v>
      </c>
      <c r="E108" s="421">
        <v>96</v>
      </c>
      <c r="F108" s="431">
        <v>42309</v>
      </c>
      <c r="G108" s="421">
        <v>1</v>
      </c>
      <c r="H108" s="28">
        <v>1550</v>
      </c>
      <c r="I108" s="24"/>
      <c r="J108" s="24"/>
      <c r="K108" s="24"/>
      <c r="L108" s="24"/>
      <c r="M108" s="24">
        <v>1</v>
      </c>
      <c r="N108" s="24"/>
      <c r="O108" s="24"/>
      <c r="P108" s="24"/>
      <c r="Q108" s="24"/>
      <c r="R108" s="24"/>
      <c r="S108" s="24"/>
      <c r="T108" s="483"/>
      <c r="U108" s="483"/>
      <c r="V108" s="24"/>
      <c r="W108" s="24">
        <f t="shared" si="15"/>
        <v>1</v>
      </c>
    </row>
    <row r="109" spans="1:23" ht="15" customHeight="1" x14ac:dyDescent="0.25">
      <c r="A109" s="517" t="s">
        <v>1462</v>
      </c>
      <c r="B109" s="24" t="s">
        <v>60</v>
      </c>
      <c r="C109" s="430">
        <v>42321</v>
      </c>
      <c r="D109" s="431">
        <v>42348</v>
      </c>
      <c r="E109" s="421">
        <v>27</v>
      </c>
      <c r="F109" s="431">
        <v>42293</v>
      </c>
      <c r="G109" s="421">
        <v>1</v>
      </c>
      <c r="H109" s="28">
        <v>1595</v>
      </c>
      <c r="I109" s="24">
        <v>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483"/>
      <c r="U109" s="483"/>
      <c r="V109" s="24"/>
      <c r="W109" s="24">
        <f t="shared" si="15"/>
        <v>1</v>
      </c>
    </row>
    <row r="110" spans="1:23" ht="15" customHeight="1" x14ac:dyDescent="0.25">
      <c r="A110" s="517" t="s">
        <v>1465</v>
      </c>
      <c r="B110" s="24" t="s">
        <v>115</v>
      </c>
      <c r="C110" s="430">
        <v>42241</v>
      </c>
      <c r="D110" s="431">
        <v>42353</v>
      </c>
      <c r="E110" s="421">
        <v>110</v>
      </c>
      <c r="F110" s="431">
        <v>42309</v>
      </c>
      <c r="G110" s="421">
        <v>3</v>
      </c>
      <c r="H110" s="28">
        <v>4650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483">
        <v>1</v>
      </c>
      <c r="U110" s="483">
        <v>1</v>
      </c>
      <c r="V110" s="24">
        <v>1</v>
      </c>
      <c r="W110" s="24">
        <f t="shared" si="15"/>
        <v>3</v>
      </c>
    </row>
    <row r="111" spans="1:23" ht="15" customHeight="1" x14ac:dyDescent="0.25">
      <c r="A111" s="517" t="s">
        <v>1466</v>
      </c>
      <c r="B111" s="483" t="s">
        <v>60</v>
      </c>
      <c r="C111" s="487">
        <v>42332</v>
      </c>
      <c r="D111" s="488">
        <v>42359</v>
      </c>
      <c r="E111" s="486">
        <v>27</v>
      </c>
      <c r="F111" s="488">
        <v>42369</v>
      </c>
      <c r="G111" s="486">
        <v>3</v>
      </c>
      <c r="H111" s="485">
        <f>865*3</f>
        <v>2595</v>
      </c>
      <c r="I111" s="483"/>
      <c r="J111" s="483">
        <v>3</v>
      </c>
      <c r="K111" s="483"/>
      <c r="L111" s="483"/>
      <c r="M111" s="483"/>
      <c r="N111" s="483"/>
      <c r="O111" s="483"/>
      <c r="P111" s="483"/>
      <c r="Q111" s="483"/>
      <c r="R111" s="483"/>
      <c r="S111" s="483"/>
      <c r="T111" s="483"/>
      <c r="U111" s="483"/>
      <c r="V111" s="483"/>
      <c r="W111" s="483">
        <f t="shared" ref="W111:W112" si="16">SUM(I111:V111)</f>
        <v>3</v>
      </c>
    </row>
    <row r="112" spans="1:23" ht="15" customHeight="1" x14ac:dyDescent="0.25">
      <c r="A112" s="517" t="s">
        <v>1467</v>
      </c>
      <c r="B112" s="483" t="s">
        <v>115</v>
      </c>
      <c r="C112" s="487">
        <v>42319</v>
      </c>
      <c r="D112" s="488">
        <v>42356</v>
      </c>
      <c r="E112" s="486">
        <v>37</v>
      </c>
      <c r="F112" s="488">
        <v>42356</v>
      </c>
      <c r="G112" s="486">
        <v>4</v>
      </c>
      <c r="H112" s="485">
        <f>4650+1550</f>
        <v>6200</v>
      </c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>
        <v>2</v>
      </c>
      <c r="U112" s="483">
        <v>1</v>
      </c>
      <c r="V112" s="483">
        <v>1</v>
      </c>
      <c r="W112" s="483">
        <f t="shared" si="16"/>
        <v>4</v>
      </c>
    </row>
    <row r="113" spans="1:24" ht="15" customHeight="1" x14ac:dyDescent="0.25">
      <c r="A113" s="517" t="s">
        <v>1269</v>
      </c>
      <c r="B113" s="24" t="s">
        <v>1293</v>
      </c>
      <c r="C113" s="430">
        <v>42339</v>
      </c>
      <c r="D113" s="431">
        <v>42367</v>
      </c>
      <c r="E113" s="421">
        <v>28</v>
      </c>
      <c r="F113" s="431">
        <v>42354</v>
      </c>
      <c r="G113" s="421">
        <v>1</v>
      </c>
      <c r="H113" s="28">
        <v>1595</v>
      </c>
      <c r="I113" s="24"/>
      <c r="J113" s="24"/>
      <c r="K113" s="24"/>
      <c r="L113" s="24"/>
      <c r="M113" s="24"/>
      <c r="N113" s="24">
        <v>1</v>
      </c>
      <c r="O113" s="24"/>
      <c r="P113" s="24"/>
      <c r="Q113" s="24"/>
      <c r="R113" s="24"/>
      <c r="S113" s="24"/>
      <c r="T113" s="483"/>
      <c r="U113" s="483"/>
      <c r="V113" s="24"/>
      <c r="W113" s="24">
        <f t="shared" si="15"/>
        <v>1</v>
      </c>
    </row>
    <row r="114" spans="1:24" ht="15" customHeight="1" x14ac:dyDescent="0.25">
      <c r="A114" s="517" t="s">
        <v>1480</v>
      </c>
      <c r="B114" s="24" t="s">
        <v>1293</v>
      </c>
      <c r="C114" s="430">
        <v>42319</v>
      </c>
      <c r="D114" s="431">
        <v>42338</v>
      </c>
      <c r="E114" s="421">
        <v>19</v>
      </c>
      <c r="F114" s="431">
        <v>42368</v>
      </c>
      <c r="G114" s="421">
        <v>3</v>
      </c>
      <c r="H114" s="28">
        <v>4650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483">
        <v>1</v>
      </c>
      <c r="U114" s="483">
        <v>1</v>
      </c>
      <c r="V114" s="24">
        <v>1</v>
      </c>
      <c r="W114" s="24">
        <f t="shared" si="15"/>
        <v>3</v>
      </c>
    </row>
    <row r="115" spans="1:24" ht="15" customHeight="1" x14ac:dyDescent="0.25">
      <c r="A115" s="517" t="s">
        <v>1481</v>
      </c>
      <c r="B115" s="483" t="s">
        <v>60</v>
      </c>
      <c r="C115" s="487">
        <v>42361</v>
      </c>
      <c r="D115" s="488">
        <v>42367</v>
      </c>
      <c r="E115" s="486">
        <v>6</v>
      </c>
      <c r="F115" s="488">
        <v>42367</v>
      </c>
      <c r="G115" s="486">
        <v>2</v>
      </c>
      <c r="H115" s="485">
        <v>3100</v>
      </c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>
        <v>1</v>
      </c>
      <c r="U115" s="483">
        <v>1</v>
      </c>
      <c r="V115" s="483"/>
      <c r="W115" s="483">
        <f t="shared" ref="W115" si="17">SUM(I115:V115)</f>
        <v>2</v>
      </c>
    </row>
    <row r="116" spans="1:24" ht="15" customHeight="1" x14ac:dyDescent="0.25">
      <c r="A116" s="443" t="s">
        <v>450</v>
      </c>
      <c r="B116" s="444"/>
      <c r="C116" s="445"/>
      <c r="D116" s="446"/>
      <c r="E116" s="447"/>
      <c r="F116" s="446"/>
      <c r="G116" s="447">
        <f>SUM(G104:G115)</f>
        <v>25</v>
      </c>
      <c r="H116" s="466">
        <f>SUM(H104:H115)</f>
        <v>37562</v>
      </c>
      <c r="I116" s="447">
        <f t="shared" ref="I116:V116" si="18">SUM(I104:I114)</f>
        <v>1</v>
      </c>
      <c r="J116" s="447">
        <f t="shared" si="18"/>
        <v>3</v>
      </c>
      <c r="K116" s="447">
        <f t="shared" si="18"/>
        <v>1</v>
      </c>
      <c r="L116" s="447">
        <f t="shared" si="18"/>
        <v>1</v>
      </c>
      <c r="M116" s="447">
        <f t="shared" si="18"/>
        <v>2</v>
      </c>
      <c r="N116" s="447">
        <f t="shared" si="18"/>
        <v>1</v>
      </c>
      <c r="O116" s="447">
        <f t="shared" si="18"/>
        <v>0</v>
      </c>
      <c r="P116" s="447">
        <f t="shared" si="18"/>
        <v>0</v>
      </c>
      <c r="Q116" s="447">
        <f t="shared" si="18"/>
        <v>0</v>
      </c>
      <c r="R116" s="447">
        <f t="shared" si="18"/>
        <v>0</v>
      </c>
      <c r="S116" s="447">
        <f t="shared" si="18"/>
        <v>0</v>
      </c>
      <c r="T116" s="447">
        <f>SUM(T104:T115)</f>
        <v>5</v>
      </c>
      <c r="U116" s="447">
        <f>SUM(U104:U115)</f>
        <v>6</v>
      </c>
      <c r="V116" s="447">
        <f t="shared" si="18"/>
        <v>5</v>
      </c>
      <c r="W116" s="447">
        <f>SUM(W104:W115)</f>
        <v>25</v>
      </c>
    </row>
    <row r="118" spans="1:24" x14ac:dyDescent="0.25">
      <c r="A118" s="739" t="s">
        <v>1229</v>
      </c>
      <c r="B118" s="739"/>
    </row>
    <row r="119" spans="1:24" ht="30" x14ac:dyDescent="0.25">
      <c r="A119" s="449" t="s">
        <v>1</v>
      </c>
      <c r="B119" s="449" t="s">
        <v>59</v>
      </c>
      <c r="C119" s="425"/>
      <c r="D119" s="425"/>
      <c r="E119" s="425"/>
      <c r="F119" s="426"/>
      <c r="G119" s="432" t="s">
        <v>1225</v>
      </c>
      <c r="H119" s="427" t="s">
        <v>1224</v>
      </c>
      <c r="I119" s="424" t="s">
        <v>681</v>
      </c>
      <c r="J119" s="424" t="s">
        <v>77</v>
      </c>
      <c r="K119" s="424" t="s">
        <v>682</v>
      </c>
      <c r="L119" s="424" t="s">
        <v>683</v>
      </c>
      <c r="M119" s="424" t="s">
        <v>87</v>
      </c>
      <c r="N119" s="424" t="s">
        <v>684</v>
      </c>
      <c r="O119" s="424" t="s">
        <v>685</v>
      </c>
      <c r="P119" s="424" t="s">
        <v>690</v>
      </c>
      <c r="Q119" s="424" t="s">
        <v>686</v>
      </c>
      <c r="R119" s="424" t="s">
        <v>687</v>
      </c>
      <c r="S119" s="424" t="s">
        <v>688</v>
      </c>
      <c r="T119" s="424" t="s">
        <v>689</v>
      </c>
      <c r="U119" s="424" t="s">
        <v>138</v>
      </c>
      <c r="V119" s="424" t="s">
        <v>1385</v>
      </c>
      <c r="W119" s="424" t="s">
        <v>1238</v>
      </c>
    </row>
    <row r="120" spans="1:24" ht="15" customHeight="1" x14ac:dyDescent="0.25">
      <c r="A120" s="517" t="s">
        <v>1454</v>
      </c>
      <c r="B120" s="483" t="s">
        <v>60</v>
      </c>
      <c r="C120" s="487">
        <v>42339</v>
      </c>
      <c r="D120" s="488">
        <v>42342</v>
      </c>
      <c r="E120" s="486">
        <v>3</v>
      </c>
      <c r="F120" s="488">
        <v>42365</v>
      </c>
      <c r="G120" s="486">
        <v>-2</v>
      </c>
      <c r="H120" s="485">
        <v>-2458</v>
      </c>
      <c r="I120" s="483"/>
      <c r="J120" s="483">
        <v>-1</v>
      </c>
      <c r="K120" s="483"/>
      <c r="L120" s="483"/>
      <c r="M120" s="483"/>
      <c r="N120" s="483">
        <v>-1</v>
      </c>
      <c r="O120" s="483"/>
      <c r="P120" s="483"/>
      <c r="Q120" s="483"/>
      <c r="R120" s="483"/>
      <c r="S120" s="483"/>
      <c r="T120" s="483"/>
      <c r="U120" s="483"/>
      <c r="V120" s="483"/>
      <c r="W120" s="483">
        <f t="shared" ref="W120:W127" si="19">SUM(I120:V120)</f>
        <v>-2</v>
      </c>
      <c r="X120" s="520"/>
    </row>
    <row r="121" spans="1:24" ht="15" customHeight="1" x14ac:dyDescent="0.25">
      <c r="A121" s="517" t="s">
        <v>1462</v>
      </c>
      <c r="B121" s="483" t="s">
        <v>60</v>
      </c>
      <c r="C121" s="487">
        <v>42321</v>
      </c>
      <c r="D121" s="488">
        <v>42348</v>
      </c>
      <c r="E121" s="486">
        <v>27</v>
      </c>
      <c r="F121" s="488">
        <v>42293</v>
      </c>
      <c r="G121" s="486">
        <v>-1</v>
      </c>
      <c r="H121" s="485">
        <v>-1595</v>
      </c>
      <c r="I121" s="483"/>
      <c r="J121" s="483"/>
      <c r="K121" s="483"/>
      <c r="L121" s="483"/>
      <c r="M121" s="483"/>
      <c r="N121" s="483">
        <v>-1</v>
      </c>
      <c r="O121" s="483"/>
      <c r="P121" s="483"/>
      <c r="Q121" s="483"/>
      <c r="R121" s="483"/>
      <c r="S121" s="483"/>
      <c r="T121" s="483"/>
      <c r="U121" s="483"/>
      <c r="V121" s="483"/>
      <c r="W121" s="483">
        <f t="shared" si="19"/>
        <v>-1</v>
      </c>
      <c r="X121" s="520"/>
    </row>
    <row r="122" spans="1:24" ht="15" customHeight="1" x14ac:dyDescent="0.25">
      <c r="A122" s="517" t="s">
        <v>300</v>
      </c>
      <c r="B122" s="483" t="s">
        <v>115</v>
      </c>
      <c r="C122" s="487">
        <v>42339</v>
      </c>
      <c r="D122" s="488">
        <v>42349</v>
      </c>
      <c r="E122" s="486">
        <v>10</v>
      </c>
      <c r="F122" s="488">
        <v>42357</v>
      </c>
      <c r="G122" s="486">
        <v>-4</v>
      </c>
      <c r="H122" s="414">
        <v>-6380</v>
      </c>
      <c r="I122" s="483"/>
      <c r="J122" s="483">
        <v>-1</v>
      </c>
      <c r="K122" s="483"/>
      <c r="L122" s="483">
        <v>-1</v>
      </c>
      <c r="M122" s="483"/>
      <c r="N122" s="483">
        <v>-1</v>
      </c>
      <c r="O122" s="483"/>
      <c r="P122" s="483">
        <v>-1</v>
      </c>
      <c r="Q122" s="483"/>
      <c r="R122" s="483"/>
      <c r="S122" s="483"/>
      <c r="T122" s="483"/>
      <c r="U122" s="483"/>
      <c r="V122" s="483"/>
      <c r="W122" s="483">
        <f t="shared" si="19"/>
        <v>-4</v>
      </c>
      <c r="X122" s="520"/>
    </row>
    <row r="123" spans="1:24" ht="15" customHeight="1" x14ac:dyDescent="0.25">
      <c r="A123" s="517" t="s">
        <v>370</v>
      </c>
      <c r="B123" s="483" t="s">
        <v>60</v>
      </c>
      <c r="C123" s="487">
        <v>42359</v>
      </c>
      <c r="D123" s="488">
        <v>42360</v>
      </c>
      <c r="E123" s="486">
        <v>1</v>
      </c>
      <c r="F123" s="488">
        <v>42360</v>
      </c>
      <c r="G123" s="486">
        <v>-4</v>
      </c>
      <c r="H123" s="485">
        <v>-4691</v>
      </c>
      <c r="I123" s="483"/>
      <c r="J123" s="483">
        <v>-1</v>
      </c>
      <c r="K123" s="483"/>
      <c r="L123" s="483">
        <v>-1</v>
      </c>
      <c r="M123" s="483"/>
      <c r="N123" s="483">
        <v>-1</v>
      </c>
      <c r="O123" s="483">
        <v>-1</v>
      </c>
      <c r="P123" s="483"/>
      <c r="Q123" s="483"/>
      <c r="R123" s="483"/>
      <c r="S123" s="483"/>
      <c r="T123" s="483"/>
      <c r="U123" s="483"/>
      <c r="V123" s="483"/>
      <c r="W123" s="483">
        <f t="shared" ref="W123" si="20">SUM(I123:V123)</f>
        <v>-4</v>
      </c>
      <c r="X123" s="520"/>
    </row>
    <row r="124" spans="1:24" ht="15" customHeight="1" x14ac:dyDescent="0.25">
      <c r="A124" s="517" t="s">
        <v>1479</v>
      </c>
      <c r="B124" s="483" t="s">
        <v>1293</v>
      </c>
      <c r="C124" s="487">
        <v>42356</v>
      </c>
      <c r="D124" s="488">
        <v>42367</v>
      </c>
      <c r="E124" s="486">
        <v>11</v>
      </c>
      <c r="F124" s="488">
        <v>42367</v>
      </c>
      <c r="G124" s="486">
        <v>-2</v>
      </c>
      <c r="H124" s="485">
        <v>-2974</v>
      </c>
      <c r="I124" s="483"/>
      <c r="J124" s="483"/>
      <c r="K124" s="483"/>
      <c r="L124" s="483"/>
      <c r="M124" s="483"/>
      <c r="N124" s="483"/>
      <c r="O124" s="483"/>
      <c r="P124" s="483">
        <v>-1</v>
      </c>
      <c r="Q124" s="483"/>
      <c r="R124" s="483">
        <v>-1</v>
      </c>
      <c r="S124" s="483"/>
      <c r="T124" s="483"/>
      <c r="U124" s="483"/>
      <c r="V124" s="483"/>
      <c r="W124" s="483">
        <f t="shared" si="19"/>
        <v>-2</v>
      </c>
      <c r="X124" s="520"/>
    </row>
    <row r="125" spans="1:24" ht="15" customHeight="1" x14ac:dyDescent="0.25">
      <c r="A125" s="517" t="s">
        <v>1482</v>
      </c>
      <c r="B125" s="483" t="s">
        <v>60</v>
      </c>
      <c r="C125" s="487">
        <v>42361</v>
      </c>
      <c r="D125" s="488">
        <v>42367</v>
      </c>
      <c r="E125" s="486">
        <v>6</v>
      </c>
      <c r="F125" s="488">
        <v>42367</v>
      </c>
      <c r="G125" s="486">
        <v>-1</v>
      </c>
      <c r="H125" s="485">
        <v>-2485</v>
      </c>
      <c r="I125" s="483"/>
      <c r="J125" s="483"/>
      <c r="K125" s="483"/>
      <c r="L125" s="483"/>
      <c r="M125" s="483"/>
      <c r="N125" s="483"/>
      <c r="O125" s="483"/>
      <c r="P125" s="483"/>
      <c r="Q125" s="483"/>
      <c r="R125" s="483">
        <v>-1</v>
      </c>
      <c r="S125" s="483"/>
      <c r="T125" s="483"/>
      <c r="U125" s="483"/>
      <c r="V125" s="483"/>
      <c r="W125" s="483">
        <f t="shared" ref="W125" si="21">SUM(I125:V125)</f>
        <v>-1</v>
      </c>
      <c r="X125" s="520"/>
    </row>
    <row r="126" spans="1:24" ht="15" customHeight="1" x14ac:dyDescent="0.25">
      <c r="A126" s="27" t="s">
        <v>1495</v>
      </c>
      <c r="B126" s="24" t="s">
        <v>115</v>
      </c>
      <c r="C126" s="430"/>
      <c r="D126" s="431"/>
      <c r="E126" s="421"/>
      <c r="F126" s="431"/>
      <c r="G126" s="421">
        <v>-1</v>
      </c>
      <c r="H126" s="28">
        <v>-1595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>
        <v>-1</v>
      </c>
      <c r="S126" s="24"/>
      <c r="T126" s="483"/>
      <c r="U126" s="483"/>
      <c r="V126" s="24"/>
      <c r="W126" s="483">
        <f t="shared" si="19"/>
        <v>-1</v>
      </c>
      <c r="X126" s="520"/>
    </row>
    <row r="127" spans="1:24" ht="15" customHeight="1" x14ac:dyDescent="0.25">
      <c r="A127" s="484"/>
      <c r="B127" s="24"/>
      <c r="C127" s="430"/>
      <c r="D127" s="431"/>
      <c r="E127" s="421"/>
      <c r="F127" s="431"/>
      <c r="G127" s="421"/>
      <c r="H127" s="28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483"/>
      <c r="U127" s="483"/>
      <c r="V127" s="24"/>
      <c r="W127" s="483">
        <f t="shared" si="19"/>
        <v>0</v>
      </c>
    </row>
    <row r="128" spans="1:24" ht="15" customHeight="1" x14ac:dyDescent="0.25">
      <c r="A128" s="27"/>
      <c r="B128" s="24"/>
      <c r="C128" s="430"/>
      <c r="D128" s="431"/>
      <c r="E128" s="421"/>
      <c r="F128" s="431"/>
      <c r="G128" s="421"/>
      <c r="H128" s="28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483"/>
      <c r="U128" s="483"/>
      <c r="V128" s="24"/>
      <c r="W128" s="24">
        <f t="shared" ref="W128" si="22">SUM(I128:V128)</f>
        <v>0</v>
      </c>
    </row>
    <row r="129" spans="1:23" ht="15" customHeight="1" x14ac:dyDescent="0.25">
      <c r="A129" s="443" t="s">
        <v>1230</v>
      </c>
      <c r="B129" s="444"/>
      <c r="C129" s="445"/>
      <c r="D129" s="446"/>
      <c r="E129" s="447"/>
      <c r="F129" s="446"/>
      <c r="G129" s="447">
        <f>SUM(G120:G128)</f>
        <v>-15</v>
      </c>
      <c r="H129" s="448">
        <f>SUM(H120:H128)</f>
        <v>-22178</v>
      </c>
      <c r="I129" s="447">
        <f t="shared" ref="I129:W129" si="23">SUM(I120:I128)</f>
        <v>0</v>
      </c>
      <c r="J129" s="447">
        <f t="shared" si="23"/>
        <v>-3</v>
      </c>
      <c r="K129" s="447">
        <f t="shared" si="23"/>
        <v>0</v>
      </c>
      <c r="L129" s="447">
        <f t="shared" si="23"/>
        <v>-2</v>
      </c>
      <c r="M129" s="447">
        <f t="shared" si="23"/>
        <v>0</v>
      </c>
      <c r="N129" s="447">
        <f t="shared" si="23"/>
        <v>-4</v>
      </c>
      <c r="O129" s="447">
        <f t="shared" si="23"/>
        <v>-1</v>
      </c>
      <c r="P129" s="447">
        <f t="shared" si="23"/>
        <v>-2</v>
      </c>
      <c r="Q129" s="447">
        <f t="shared" si="23"/>
        <v>0</v>
      </c>
      <c r="R129" s="447">
        <f t="shared" si="23"/>
        <v>-3</v>
      </c>
      <c r="S129" s="447">
        <f t="shared" si="23"/>
        <v>0</v>
      </c>
      <c r="T129" s="447">
        <f t="shared" si="23"/>
        <v>0</v>
      </c>
      <c r="U129" s="447">
        <f t="shared" si="23"/>
        <v>0</v>
      </c>
      <c r="V129" s="447">
        <f t="shared" si="23"/>
        <v>0</v>
      </c>
      <c r="W129" s="447">
        <f t="shared" si="23"/>
        <v>-15</v>
      </c>
    </row>
    <row r="131" spans="1:23" x14ac:dyDescent="0.25">
      <c r="A131" s="739" t="s">
        <v>1231</v>
      </c>
      <c r="B131" s="739"/>
    </row>
    <row r="132" spans="1:23" ht="30" x14ac:dyDescent="0.25">
      <c r="A132" s="449" t="s">
        <v>1</v>
      </c>
      <c r="B132" s="449" t="s">
        <v>59</v>
      </c>
      <c r="C132" s="425" t="s">
        <v>1222</v>
      </c>
      <c r="D132" s="425" t="s">
        <v>1223</v>
      </c>
      <c r="E132" s="425" t="s">
        <v>392</v>
      </c>
      <c r="F132" s="426" t="s">
        <v>2</v>
      </c>
      <c r="G132" s="432" t="s">
        <v>1225</v>
      </c>
      <c r="H132" s="427" t="s">
        <v>1224</v>
      </c>
      <c r="I132" s="424" t="s">
        <v>681</v>
      </c>
      <c r="J132" s="424" t="s">
        <v>77</v>
      </c>
      <c r="K132" s="424" t="s">
        <v>682</v>
      </c>
      <c r="L132" s="424" t="s">
        <v>683</v>
      </c>
      <c r="M132" s="424" t="s">
        <v>87</v>
      </c>
      <c r="N132" s="424" t="s">
        <v>684</v>
      </c>
      <c r="O132" s="424" t="s">
        <v>685</v>
      </c>
      <c r="P132" s="424" t="s">
        <v>690</v>
      </c>
      <c r="Q132" s="424" t="s">
        <v>686</v>
      </c>
      <c r="R132" s="424" t="s">
        <v>687</v>
      </c>
      <c r="S132" s="424" t="s">
        <v>688</v>
      </c>
      <c r="T132" s="424" t="s">
        <v>689</v>
      </c>
      <c r="U132" s="424" t="s">
        <v>138</v>
      </c>
      <c r="V132" s="424" t="s">
        <v>1385</v>
      </c>
      <c r="W132" s="424" t="s">
        <v>1238</v>
      </c>
    </row>
    <row r="133" spans="1:23" ht="14.45" customHeight="1" x14ac:dyDescent="0.25">
      <c r="A133" s="9" t="s">
        <v>1280</v>
      </c>
      <c r="B133" s="6" t="s">
        <v>115</v>
      </c>
      <c r="C133" s="6"/>
      <c r="D133" s="414"/>
      <c r="E133" s="483"/>
      <c r="F133" s="414"/>
      <c r="G133" s="483">
        <v>-8</v>
      </c>
      <c r="H133" s="414">
        <v>-11484</v>
      </c>
      <c r="I133" s="483">
        <v>-1</v>
      </c>
      <c r="J133" s="483">
        <v>-1</v>
      </c>
      <c r="K133" s="483">
        <v>-1</v>
      </c>
      <c r="L133" s="483">
        <v>-1</v>
      </c>
      <c r="M133" s="483">
        <v>-1</v>
      </c>
      <c r="N133" s="483">
        <v>-1</v>
      </c>
      <c r="O133" s="483">
        <v>-1</v>
      </c>
      <c r="P133" s="483"/>
      <c r="Q133" s="483">
        <v>-1</v>
      </c>
      <c r="R133" s="483"/>
      <c r="S133" s="483"/>
      <c r="T133" s="483"/>
      <c r="U133" s="483"/>
      <c r="V133" s="483"/>
      <c r="W133" s="483">
        <f t="shared" ref="W133:W136" si="24">SUM(I133:V133)</f>
        <v>-8</v>
      </c>
    </row>
    <row r="134" spans="1:23" ht="14.45" customHeight="1" x14ac:dyDescent="0.25">
      <c r="A134" s="9" t="s">
        <v>1279</v>
      </c>
      <c r="B134" s="6" t="s">
        <v>115</v>
      </c>
      <c r="C134" s="6"/>
      <c r="D134" s="414"/>
      <c r="E134" s="483"/>
      <c r="F134" s="414"/>
      <c r="G134" s="483">
        <v>-8</v>
      </c>
      <c r="H134" s="414">
        <v>-11484</v>
      </c>
      <c r="I134" s="483">
        <v>-1</v>
      </c>
      <c r="J134" s="483">
        <v>-1</v>
      </c>
      <c r="K134" s="483">
        <v>-1</v>
      </c>
      <c r="L134" s="483">
        <v>-1</v>
      </c>
      <c r="M134" s="483">
        <v>-1</v>
      </c>
      <c r="N134" s="483">
        <v>-1</v>
      </c>
      <c r="O134" s="483">
        <v>-1</v>
      </c>
      <c r="P134" s="483"/>
      <c r="Q134" s="483">
        <v>-1</v>
      </c>
      <c r="R134" s="483"/>
      <c r="S134" s="483"/>
      <c r="T134" s="483"/>
      <c r="U134" s="483"/>
      <c r="V134" s="483"/>
      <c r="W134" s="483">
        <f t="shared" si="24"/>
        <v>-8</v>
      </c>
    </row>
    <row r="135" spans="1:23" ht="14.45" customHeight="1" x14ac:dyDescent="0.25">
      <c r="A135" s="9" t="s">
        <v>289</v>
      </c>
      <c r="B135" s="6" t="s">
        <v>60</v>
      </c>
      <c r="C135" s="6"/>
      <c r="D135" s="414"/>
      <c r="E135" s="483"/>
      <c r="F135" s="414"/>
      <c r="G135" s="483">
        <v>-4</v>
      </c>
      <c r="H135" s="414">
        <v>-1680</v>
      </c>
      <c r="I135" s="483">
        <v>-1</v>
      </c>
      <c r="J135" s="483">
        <v>-1</v>
      </c>
      <c r="K135" s="483"/>
      <c r="L135" s="483"/>
      <c r="M135" s="483"/>
      <c r="N135" s="483">
        <v>-1</v>
      </c>
      <c r="O135" s="483"/>
      <c r="P135" s="483">
        <v>-1</v>
      </c>
      <c r="Q135" s="483"/>
      <c r="R135" s="483"/>
      <c r="S135" s="483"/>
      <c r="T135" s="483"/>
      <c r="U135" s="483"/>
      <c r="V135" s="483"/>
      <c r="W135" s="483">
        <f t="shared" si="24"/>
        <v>-4</v>
      </c>
    </row>
    <row r="136" spans="1:23" ht="14.45" customHeight="1" x14ac:dyDescent="0.25">
      <c r="A136" s="9" t="s">
        <v>290</v>
      </c>
      <c r="B136" s="6" t="s">
        <v>60</v>
      </c>
      <c r="C136" s="6"/>
      <c r="D136" s="414"/>
      <c r="E136" s="483"/>
      <c r="F136" s="414"/>
      <c r="G136" s="483">
        <v>-4</v>
      </c>
      <c r="H136" s="414">
        <v>-2520</v>
      </c>
      <c r="I136" s="483">
        <v>-1</v>
      </c>
      <c r="J136" s="483">
        <v>-1</v>
      </c>
      <c r="K136" s="483"/>
      <c r="L136" s="483"/>
      <c r="M136" s="483"/>
      <c r="N136" s="483">
        <v>-1</v>
      </c>
      <c r="O136" s="483"/>
      <c r="P136" s="483">
        <v>-1</v>
      </c>
      <c r="Q136" s="483"/>
      <c r="R136" s="483"/>
      <c r="S136" s="483"/>
      <c r="T136" s="483"/>
      <c r="U136" s="483"/>
      <c r="V136" s="483"/>
      <c r="W136" s="483">
        <f t="shared" si="24"/>
        <v>-4</v>
      </c>
    </row>
    <row r="137" spans="1:23" ht="14.45" customHeight="1" x14ac:dyDescent="0.25">
      <c r="A137" s="9" t="s">
        <v>224</v>
      </c>
      <c r="B137" s="6" t="s">
        <v>60</v>
      </c>
      <c r="C137" s="9"/>
      <c r="D137" s="414"/>
      <c r="E137" s="483"/>
      <c r="F137" s="414"/>
      <c r="G137" s="483">
        <v>-1</v>
      </c>
      <c r="H137" s="414">
        <v>-420</v>
      </c>
      <c r="I137" s="483"/>
      <c r="J137" s="483"/>
      <c r="K137" s="483">
        <v>-1</v>
      </c>
      <c r="L137" s="483"/>
      <c r="M137" s="483"/>
      <c r="N137" s="483"/>
      <c r="O137" s="483"/>
      <c r="P137" s="483"/>
      <c r="Q137" s="483"/>
      <c r="R137" s="483"/>
      <c r="S137" s="483"/>
      <c r="T137" s="483"/>
      <c r="U137" s="483"/>
      <c r="V137" s="483"/>
      <c r="W137" s="483">
        <f>SUM(I137:V137)</f>
        <v>-1</v>
      </c>
    </row>
    <row r="138" spans="1:23" ht="14.45" customHeight="1" x14ac:dyDescent="0.25">
      <c r="A138" s="9" t="s">
        <v>1493</v>
      </c>
      <c r="B138" s="6" t="s">
        <v>60</v>
      </c>
      <c r="C138" s="6"/>
      <c r="D138" s="414"/>
      <c r="E138" s="483"/>
      <c r="F138" s="414"/>
      <c r="G138" s="483">
        <v>-4</v>
      </c>
      <c r="H138" s="414">
        <v>-6700</v>
      </c>
      <c r="I138" s="483">
        <v>-1</v>
      </c>
      <c r="J138" s="483">
        <v>-1</v>
      </c>
      <c r="K138" s="483">
        <v>-1</v>
      </c>
      <c r="L138" s="483"/>
      <c r="M138" s="483"/>
      <c r="N138" s="483">
        <v>-1</v>
      </c>
      <c r="O138" s="483"/>
      <c r="P138" s="483"/>
      <c r="Q138" s="483"/>
      <c r="R138" s="483"/>
      <c r="S138" s="483"/>
      <c r="T138" s="483"/>
      <c r="U138" s="483"/>
      <c r="V138" s="483"/>
      <c r="W138" s="483">
        <f t="shared" ref="W138:W142" si="25">SUM(I138:V138)</f>
        <v>-4</v>
      </c>
    </row>
    <row r="139" spans="1:23" ht="14.45" customHeight="1" x14ac:dyDescent="0.25">
      <c r="A139" s="9" t="s">
        <v>1494</v>
      </c>
      <c r="B139" s="6" t="s">
        <v>60</v>
      </c>
      <c r="C139" s="6"/>
      <c r="D139" s="414"/>
      <c r="E139" s="483"/>
      <c r="F139" s="414"/>
      <c r="G139" s="483">
        <v>-7</v>
      </c>
      <c r="H139" s="414">
        <f>-8555-2200</f>
        <v>-10755</v>
      </c>
      <c r="I139" s="483">
        <v>-1</v>
      </c>
      <c r="J139" s="483">
        <v>-1</v>
      </c>
      <c r="K139" s="483">
        <v>-1</v>
      </c>
      <c r="L139" s="483">
        <v>-1</v>
      </c>
      <c r="M139" s="483">
        <v>-1</v>
      </c>
      <c r="N139" s="483">
        <v>-1</v>
      </c>
      <c r="O139" s="483">
        <v>-1</v>
      </c>
      <c r="P139" s="483"/>
      <c r="Q139" s="483"/>
      <c r="R139" s="483"/>
      <c r="S139" s="483"/>
      <c r="T139" s="483"/>
      <c r="U139" s="483"/>
      <c r="V139" s="483"/>
      <c r="W139" s="483">
        <f t="shared" si="25"/>
        <v>-7</v>
      </c>
    </row>
    <row r="140" spans="1:23" ht="14.45" customHeight="1" x14ac:dyDescent="0.25">
      <c r="A140" s="9" t="s">
        <v>362</v>
      </c>
      <c r="B140" s="6" t="s">
        <v>115</v>
      </c>
      <c r="C140" s="6"/>
      <c r="D140" s="414"/>
      <c r="E140" s="483"/>
      <c r="F140" s="414"/>
      <c r="G140" s="483">
        <v>-2</v>
      </c>
      <c r="H140" s="414">
        <v>-3190</v>
      </c>
      <c r="I140" s="483"/>
      <c r="J140" s="483"/>
      <c r="K140" s="483"/>
      <c r="L140" s="483"/>
      <c r="M140" s="483"/>
      <c r="N140" s="483">
        <v>-1</v>
      </c>
      <c r="O140" s="483"/>
      <c r="P140" s="483">
        <v>-1</v>
      </c>
      <c r="Q140" s="483"/>
      <c r="R140" s="483"/>
      <c r="S140" s="483"/>
      <c r="T140" s="483"/>
      <c r="U140" s="483"/>
      <c r="V140" s="483"/>
      <c r="W140" s="483">
        <f t="shared" si="25"/>
        <v>-2</v>
      </c>
    </row>
    <row r="141" spans="1:23" ht="14.45" customHeight="1" x14ac:dyDescent="0.25">
      <c r="A141" s="9"/>
      <c r="B141" s="6"/>
      <c r="C141" s="6"/>
      <c r="D141" s="414"/>
      <c r="E141" s="483"/>
      <c r="F141" s="414"/>
      <c r="G141" s="483"/>
      <c r="H141" s="414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  <c r="T141" s="483"/>
      <c r="U141" s="483"/>
      <c r="V141" s="483"/>
      <c r="W141" s="483">
        <f t="shared" si="25"/>
        <v>0</v>
      </c>
    </row>
    <row r="142" spans="1:23" ht="14.45" customHeight="1" x14ac:dyDescent="0.25">
      <c r="A142" s="9"/>
      <c r="B142" s="6"/>
      <c r="C142" s="9"/>
      <c r="D142" s="414"/>
      <c r="E142" s="483"/>
      <c r="F142" s="414"/>
      <c r="G142" s="483"/>
      <c r="H142" s="414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  <c r="T142" s="483"/>
      <c r="U142" s="483"/>
      <c r="V142" s="483"/>
      <c r="W142" s="483">
        <f t="shared" si="25"/>
        <v>0</v>
      </c>
    </row>
    <row r="143" spans="1:23" ht="15" customHeight="1" x14ac:dyDescent="0.25">
      <c r="A143" s="443" t="s">
        <v>1230</v>
      </c>
      <c r="B143" s="444"/>
      <c r="C143" s="445"/>
      <c r="D143" s="446"/>
      <c r="E143" s="447"/>
      <c r="F143" s="446"/>
      <c r="G143" s="447">
        <f>SUM(G133:G142)</f>
        <v>-38</v>
      </c>
      <c r="H143" s="448">
        <f>SUM(H133:H142)</f>
        <v>-48233</v>
      </c>
      <c r="I143" s="447">
        <f t="shared" ref="I143:W143" si="26">SUM(I133:I142)</f>
        <v>-6</v>
      </c>
      <c r="J143" s="447">
        <f t="shared" si="26"/>
        <v>-6</v>
      </c>
      <c r="K143" s="447">
        <f t="shared" si="26"/>
        <v>-5</v>
      </c>
      <c r="L143" s="447">
        <f t="shared" si="26"/>
        <v>-3</v>
      </c>
      <c r="M143" s="447">
        <f t="shared" si="26"/>
        <v>-3</v>
      </c>
      <c r="N143" s="447">
        <f t="shared" si="26"/>
        <v>-7</v>
      </c>
      <c r="O143" s="447">
        <f t="shared" si="26"/>
        <v>-3</v>
      </c>
      <c r="P143" s="447">
        <f t="shared" si="26"/>
        <v>-3</v>
      </c>
      <c r="Q143" s="447">
        <f t="shared" si="26"/>
        <v>-2</v>
      </c>
      <c r="R143" s="447">
        <f t="shared" si="26"/>
        <v>0</v>
      </c>
      <c r="S143" s="447">
        <f t="shared" si="26"/>
        <v>0</v>
      </c>
      <c r="T143" s="447">
        <f t="shared" si="26"/>
        <v>0</v>
      </c>
      <c r="U143" s="447">
        <f t="shared" si="26"/>
        <v>0</v>
      </c>
      <c r="V143" s="447">
        <f t="shared" si="26"/>
        <v>0</v>
      </c>
      <c r="W143" s="447">
        <f t="shared" si="26"/>
        <v>-38</v>
      </c>
    </row>
    <row r="144" spans="1:23" ht="15.75" thickBot="1" x14ac:dyDescent="0.3"/>
    <row r="145" spans="1:23" ht="15.75" thickBot="1" x14ac:dyDescent="0.3">
      <c r="A145" s="436" t="s">
        <v>1232</v>
      </c>
      <c r="B145" s="434"/>
      <c r="C145" s="434"/>
      <c r="D145" s="434"/>
      <c r="E145" s="434"/>
      <c r="F145" s="434"/>
      <c r="G145" s="437">
        <f t="shared" ref="G145:W145" si="27">G86+G100+G116+G129+G143</f>
        <v>0</v>
      </c>
      <c r="H145" s="438">
        <f t="shared" si="27"/>
        <v>22558.599999999991</v>
      </c>
      <c r="I145" s="450">
        <f t="shared" si="27"/>
        <v>1</v>
      </c>
      <c r="J145" s="450">
        <f t="shared" si="27"/>
        <v>-2</v>
      </c>
      <c r="K145" s="450">
        <f t="shared" si="27"/>
        <v>0</v>
      </c>
      <c r="L145" s="450">
        <f t="shared" si="27"/>
        <v>-2</v>
      </c>
      <c r="M145" s="450">
        <f t="shared" si="27"/>
        <v>2</v>
      </c>
      <c r="N145" s="450">
        <f t="shared" si="27"/>
        <v>-4</v>
      </c>
      <c r="O145" s="450">
        <f t="shared" si="27"/>
        <v>-4</v>
      </c>
      <c r="P145" s="450">
        <f t="shared" si="27"/>
        <v>-5</v>
      </c>
      <c r="Q145" s="450">
        <f t="shared" si="27"/>
        <v>-2</v>
      </c>
      <c r="R145" s="450">
        <f t="shared" si="27"/>
        <v>-2</v>
      </c>
      <c r="S145" s="450">
        <f t="shared" si="27"/>
        <v>2</v>
      </c>
      <c r="T145" s="450">
        <f t="shared" si="27"/>
        <v>5</v>
      </c>
      <c r="U145" s="450">
        <f t="shared" si="27"/>
        <v>6</v>
      </c>
      <c r="V145" s="450">
        <f t="shared" si="27"/>
        <v>5</v>
      </c>
      <c r="W145" s="450">
        <f t="shared" si="27"/>
        <v>0</v>
      </c>
    </row>
    <row r="146" spans="1:23" ht="15.75" thickBot="1" x14ac:dyDescent="0.3">
      <c r="A146" s="436" t="s">
        <v>64</v>
      </c>
      <c r="B146" s="434"/>
      <c r="C146" s="434"/>
      <c r="D146" s="434"/>
      <c r="E146" s="434"/>
      <c r="F146" s="434"/>
      <c r="G146" s="437"/>
      <c r="H146" s="438"/>
    </row>
    <row r="147" spans="1:23" ht="15.75" thickBot="1" x14ac:dyDescent="0.3">
      <c r="A147" s="439" t="s">
        <v>452</v>
      </c>
      <c r="B147" s="440"/>
      <c r="C147" s="440"/>
      <c r="D147" s="440"/>
      <c r="E147" s="440"/>
      <c r="F147" s="440"/>
      <c r="G147" s="441"/>
      <c r="H147" s="442">
        <f>H145-H146</f>
        <v>22558.599999999991</v>
      </c>
    </row>
    <row r="150" spans="1:23" x14ac:dyDescent="0.25">
      <c r="H150" s="435"/>
    </row>
  </sheetData>
  <sortState ref="A80:W84">
    <sortCondition ref="A80:A84"/>
  </sortState>
  <mergeCells count="8">
    <mergeCell ref="G3:H3"/>
    <mergeCell ref="A88:B88"/>
    <mergeCell ref="A102:B102"/>
    <mergeCell ref="A118:B118"/>
    <mergeCell ref="A131:B131"/>
    <mergeCell ref="A3:B3"/>
    <mergeCell ref="C3:D3"/>
    <mergeCell ref="E3:F3"/>
  </mergeCells>
  <pageMargins left="0.7" right="0.7" top="0.75" bottom="0.75" header="0.3" footer="0.3"/>
  <pageSetup scale="5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36"/>
  <sheetViews>
    <sheetView topLeftCell="A86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1239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68" t="s">
        <v>1</v>
      </c>
      <c r="B4" s="568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302</v>
      </c>
      <c r="B5" s="531"/>
      <c r="C5" s="531">
        <v>3</v>
      </c>
      <c r="D5" s="542">
        <v>5835</v>
      </c>
      <c r="E5" s="535">
        <v>3</v>
      </c>
      <c r="F5" s="542">
        <v>6009</v>
      </c>
      <c r="G5" s="535">
        <f t="shared" ref="G5:H36" si="0">E5-C5</f>
        <v>0</v>
      </c>
      <c r="H5" s="542">
        <f t="shared" si="0"/>
        <v>174</v>
      </c>
      <c r="I5" s="542"/>
      <c r="J5" s="542">
        <v>2404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1">SUM(K5:Y5)</f>
        <v>0</v>
      </c>
    </row>
    <row r="6" spans="1:26" ht="14.45" customHeight="1" x14ac:dyDescent="0.25">
      <c r="A6" s="530" t="s">
        <v>1528</v>
      </c>
      <c r="B6" s="531"/>
      <c r="C6" s="531">
        <v>6</v>
      </c>
      <c r="D6" s="542">
        <v>12058</v>
      </c>
      <c r="E6" s="535">
        <v>6</v>
      </c>
      <c r="F6" s="542">
        <v>12358</v>
      </c>
      <c r="G6" s="535">
        <f t="shared" si="0"/>
        <v>0</v>
      </c>
      <c r="H6" s="542">
        <f t="shared" si="0"/>
        <v>300</v>
      </c>
      <c r="I6" s="542"/>
      <c r="J6" s="542">
        <v>4063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1" t="s">
        <v>250</v>
      </c>
      <c r="B7" s="531"/>
      <c r="C7" s="531">
        <v>9</v>
      </c>
      <c r="D7" s="542">
        <v>14924.699999999999</v>
      </c>
      <c r="E7" s="535">
        <v>9</v>
      </c>
      <c r="F7" s="542">
        <v>15237</v>
      </c>
      <c r="G7" s="535">
        <f t="shared" si="0"/>
        <v>0</v>
      </c>
      <c r="H7" s="542">
        <f t="shared" si="0"/>
        <v>312.30000000000109</v>
      </c>
      <c r="I7" s="542"/>
      <c r="J7" s="542">
        <v>4120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0" t="s">
        <v>1520</v>
      </c>
      <c r="B8" s="530"/>
      <c r="C8" s="530">
        <v>5</v>
      </c>
      <c r="D8" s="542">
        <v>8215</v>
      </c>
      <c r="E8" s="535">
        <v>5</v>
      </c>
      <c r="F8" s="542">
        <v>8465</v>
      </c>
      <c r="G8" s="535">
        <f t="shared" si="0"/>
        <v>0</v>
      </c>
      <c r="H8" s="542">
        <f t="shared" si="0"/>
        <v>250</v>
      </c>
      <c r="I8" s="542"/>
      <c r="J8" s="542">
        <v>3386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5" t="s">
        <v>328</v>
      </c>
      <c r="B9" s="531"/>
      <c r="C9" s="531">
        <v>5</v>
      </c>
      <c r="D9" s="542">
        <v>9725</v>
      </c>
      <c r="E9" s="531">
        <v>5</v>
      </c>
      <c r="F9" s="542">
        <v>11130</v>
      </c>
      <c r="G9" s="535">
        <f t="shared" si="0"/>
        <v>0</v>
      </c>
      <c r="H9" s="542">
        <f t="shared" si="0"/>
        <v>1405</v>
      </c>
      <c r="I9" s="542"/>
      <c r="J9" s="542">
        <v>4000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1" t="s">
        <v>163</v>
      </c>
      <c r="B10" s="531"/>
      <c r="C10" s="531">
        <v>4</v>
      </c>
      <c r="D10" s="542">
        <v>8013</v>
      </c>
      <c r="E10" s="535">
        <v>4</v>
      </c>
      <c r="F10" s="542">
        <v>8253</v>
      </c>
      <c r="G10" s="535">
        <f t="shared" si="0"/>
        <v>0</v>
      </c>
      <c r="H10" s="542">
        <f t="shared" si="0"/>
        <v>240</v>
      </c>
      <c r="I10" s="542"/>
      <c r="J10" s="542">
        <v>3301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0" t="s">
        <v>1267</v>
      </c>
      <c r="B11" s="530"/>
      <c r="C11" s="530">
        <v>6</v>
      </c>
      <c r="D11" s="542">
        <v>9570</v>
      </c>
      <c r="E11" s="535">
        <v>6</v>
      </c>
      <c r="F11" s="542">
        <v>9858</v>
      </c>
      <c r="G11" s="535">
        <f t="shared" si="0"/>
        <v>0</v>
      </c>
      <c r="H11" s="542">
        <f t="shared" si="0"/>
        <v>288</v>
      </c>
      <c r="I11" s="542"/>
      <c r="J11" s="542">
        <v>3943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0" t="s">
        <v>1252</v>
      </c>
      <c r="B12" s="531"/>
      <c r="C12" s="531">
        <v>4</v>
      </c>
      <c r="D12" s="542">
        <v>6380</v>
      </c>
      <c r="E12" s="535">
        <v>4</v>
      </c>
      <c r="F12" s="542">
        <v>6572</v>
      </c>
      <c r="G12" s="535">
        <f t="shared" si="0"/>
        <v>0</v>
      </c>
      <c r="H12" s="542">
        <f t="shared" si="0"/>
        <v>192</v>
      </c>
      <c r="I12" s="542"/>
      <c r="J12" s="542">
        <v>2629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1" t="s">
        <v>204</v>
      </c>
      <c r="B13" s="531"/>
      <c r="C13" s="531">
        <v>9</v>
      </c>
      <c r="D13" s="542">
        <v>12419.3</v>
      </c>
      <c r="E13" s="535">
        <v>9</v>
      </c>
      <c r="F13" s="542">
        <v>12378</v>
      </c>
      <c r="G13" s="535">
        <f t="shared" si="0"/>
        <v>0</v>
      </c>
      <c r="H13" s="542">
        <f t="shared" si="0"/>
        <v>-41.299999999999272</v>
      </c>
      <c r="I13" s="542"/>
      <c r="J13" s="542">
        <v>4000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0" t="s">
        <v>1514</v>
      </c>
      <c r="B14" s="531"/>
      <c r="C14" s="531">
        <v>3</v>
      </c>
      <c r="D14" s="542">
        <v>4785</v>
      </c>
      <c r="E14" s="531">
        <v>3</v>
      </c>
      <c r="F14" s="542">
        <v>4929</v>
      </c>
      <c r="G14" s="535">
        <f t="shared" si="0"/>
        <v>0</v>
      </c>
      <c r="H14" s="542">
        <f t="shared" si="0"/>
        <v>144</v>
      </c>
      <c r="I14" s="542"/>
      <c r="J14" s="542">
        <v>1972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0" t="s">
        <v>268</v>
      </c>
      <c r="B15" s="531"/>
      <c r="C15" s="531">
        <v>4</v>
      </c>
      <c r="D15" s="542">
        <v>4783</v>
      </c>
      <c r="E15" s="531">
        <v>4</v>
      </c>
      <c r="F15" s="542">
        <v>4926</v>
      </c>
      <c r="G15" s="535">
        <f t="shared" si="0"/>
        <v>0</v>
      </c>
      <c r="H15" s="542">
        <f t="shared" si="0"/>
        <v>143</v>
      </c>
      <c r="I15" s="542"/>
      <c r="J15" s="542">
        <v>1970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0" t="s">
        <v>1518</v>
      </c>
      <c r="B16" s="530"/>
      <c r="C16" s="530">
        <v>2</v>
      </c>
      <c r="D16" s="542">
        <v>3190</v>
      </c>
      <c r="E16" s="535">
        <v>2</v>
      </c>
      <c r="F16" s="542">
        <v>3286</v>
      </c>
      <c r="G16" s="535">
        <f t="shared" si="0"/>
        <v>0</v>
      </c>
      <c r="H16" s="542">
        <f t="shared" si="0"/>
        <v>96</v>
      </c>
      <c r="I16" s="542"/>
      <c r="J16" s="542">
        <v>1314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5"/>
      <c r="B17" s="530"/>
      <c r="C17" s="531"/>
      <c r="D17" s="542"/>
      <c r="E17" s="535"/>
      <c r="F17" s="542"/>
      <c r="G17" s="535">
        <f t="shared" si="0"/>
        <v>0</v>
      </c>
      <c r="H17" s="542">
        <f t="shared" si="0"/>
        <v>0</v>
      </c>
      <c r="I17" s="542"/>
      <c r="J17" s="542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5"/>
      <c r="B18" s="530"/>
      <c r="C18" s="531"/>
      <c r="D18" s="542"/>
      <c r="E18" s="535"/>
      <c r="F18" s="542"/>
      <c r="G18" s="535">
        <f t="shared" si="0"/>
        <v>0</v>
      </c>
      <c r="H18" s="542">
        <f t="shared" si="0"/>
        <v>0</v>
      </c>
      <c r="I18" s="542"/>
      <c r="J18" s="542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1"/>
      <c r="B19" s="531"/>
      <c r="C19" s="531"/>
      <c r="D19" s="542"/>
      <c r="E19" s="535"/>
      <c r="F19" s="542"/>
      <c r="G19" s="535">
        <f t="shared" si="0"/>
        <v>0</v>
      </c>
      <c r="H19" s="542">
        <f t="shared" si="0"/>
        <v>0</v>
      </c>
      <c r="I19" s="542"/>
      <c r="J19" s="542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30"/>
      <c r="B20" s="530"/>
      <c r="C20" s="531"/>
      <c r="D20" s="542"/>
      <c r="E20" s="535"/>
      <c r="F20" s="542"/>
      <c r="G20" s="535">
        <f t="shared" si="0"/>
        <v>0</v>
      </c>
      <c r="H20" s="542">
        <f t="shared" si="0"/>
        <v>0</v>
      </c>
      <c r="I20" s="542"/>
      <c r="J20" s="542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1"/>
      <c r="B21" s="530"/>
      <c r="C21" s="531"/>
      <c r="D21" s="542"/>
      <c r="E21" s="535"/>
      <c r="F21" s="542"/>
      <c r="G21" s="535">
        <f t="shared" si="0"/>
        <v>0</v>
      </c>
      <c r="H21" s="542">
        <f t="shared" si="0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1"/>
      <c r="B22" s="530"/>
      <c r="C22" s="531"/>
      <c r="D22" s="542"/>
      <c r="E22" s="535"/>
      <c r="F22" s="542"/>
      <c r="G22" s="535">
        <f t="shared" si="0"/>
        <v>0</v>
      </c>
      <c r="H22" s="542">
        <f t="shared" si="0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hidden="1" customHeight="1" x14ac:dyDescent="0.25">
      <c r="A23" s="530"/>
      <c r="B23" s="530"/>
      <c r="C23" s="531"/>
      <c r="D23" s="542"/>
      <c r="E23" s="535"/>
      <c r="F23" s="542"/>
      <c r="G23" s="535">
        <f t="shared" si="0"/>
        <v>0</v>
      </c>
      <c r="H23" s="542">
        <f t="shared" si="0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hidden="1" customHeight="1" x14ac:dyDescent="0.25">
      <c r="A24" s="530"/>
      <c r="B24" s="530"/>
      <c r="C24" s="531"/>
      <c r="D24" s="542"/>
      <c r="E24" s="535"/>
      <c r="F24" s="542"/>
      <c r="G24" s="535">
        <f t="shared" si="0"/>
        <v>0</v>
      </c>
      <c r="H24" s="542">
        <f t="shared" si="0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hidden="1" customHeight="1" x14ac:dyDescent="0.25">
      <c r="A25" s="530"/>
      <c r="B25" s="530"/>
      <c r="C25" s="531"/>
      <c r="D25" s="542"/>
      <c r="E25" s="535"/>
      <c r="F25" s="542"/>
      <c r="G25" s="535">
        <f t="shared" si="0"/>
        <v>0</v>
      </c>
      <c r="H25" s="542">
        <f t="shared" si="0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hidden="1" customHeight="1" x14ac:dyDescent="0.25">
      <c r="A26" s="530"/>
      <c r="B26" s="530"/>
      <c r="C26" s="531"/>
      <c r="D26" s="542"/>
      <c r="E26" s="535"/>
      <c r="F26" s="542"/>
      <c r="G26" s="535">
        <f t="shared" si="0"/>
        <v>0</v>
      </c>
      <c r="H26" s="542">
        <f t="shared" si="0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hidden="1" customHeight="1" x14ac:dyDescent="0.25">
      <c r="A27" s="531"/>
      <c r="B27" s="530"/>
      <c r="C27" s="531"/>
      <c r="D27" s="542"/>
      <c r="E27" s="535"/>
      <c r="F27" s="542"/>
      <c r="G27" s="535">
        <f t="shared" si="0"/>
        <v>0</v>
      </c>
      <c r="H27" s="542">
        <f t="shared" si="0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hidden="1" customHeight="1" x14ac:dyDescent="0.25">
      <c r="A28" s="536"/>
      <c r="B28" s="530"/>
      <c r="C28" s="531"/>
      <c r="D28" s="542"/>
      <c r="E28" s="535"/>
      <c r="F28" s="542"/>
      <c r="G28" s="535">
        <f t="shared" si="0"/>
        <v>0</v>
      </c>
      <c r="H28" s="542">
        <f t="shared" si="0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hidden="1" customHeight="1" x14ac:dyDescent="0.25">
      <c r="A29" s="531"/>
      <c r="B29" s="530"/>
      <c r="C29" s="531"/>
      <c r="D29" s="542"/>
      <c r="E29" s="535"/>
      <c r="F29" s="542"/>
      <c r="G29" s="535">
        <f t="shared" si="0"/>
        <v>0</v>
      </c>
      <c r="H29" s="542">
        <f t="shared" si="0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hidden="1" customHeight="1" x14ac:dyDescent="0.25">
      <c r="A30" s="531"/>
      <c r="B30" s="530"/>
      <c r="C30" s="531"/>
      <c r="D30" s="542"/>
      <c r="E30" s="535"/>
      <c r="F30" s="542"/>
      <c r="G30" s="535">
        <f t="shared" si="0"/>
        <v>0</v>
      </c>
      <c r="H30" s="542">
        <f t="shared" si="0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hidden="1" customHeight="1" x14ac:dyDescent="0.25">
      <c r="A31" s="531"/>
      <c r="B31" s="530"/>
      <c r="C31" s="531"/>
      <c r="D31" s="542"/>
      <c r="E31" s="535"/>
      <c r="F31" s="542"/>
      <c r="G31" s="535">
        <f t="shared" si="0"/>
        <v>0</v>
      </c>
      <c r="H31" s="542">
        <f t="shared" si="0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hidden="1" customHeight="1" x14ac:dyDescent="0.25">
      <c r="A32" s="531"/>
      <c r="B32" s="530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hidden="1" customHeight="1" x14ac:dyDescent="0.25">
      <c r="A33" s="531"/>
      <c r="B33" s="530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hidden="1" customHeight="1" x14ac:dyDescent="0.25">
      <c r="A34" s="531"/>
      <c r="B34" s="530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hidden="1" customHeight="1" x14ac:dyDescent="0.25">
      <c r="A35" s="531"/>
      <c r="B35" s="530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hidden="1" customHeight="1" x14ac:dyDescent="0.25">
      <c r="A36" s="531"/>
      <c r="B36" s="530"/>
      <c r="C36" s="531"/>
      <c r="D36" s="542"/>
      <c r="E36" s="535"/>
      <c r="F36" s="542"/>
      <c r="G36" s="535">
        <f t="shared" si="0"/>
        <v>0</v>
      </c>
      <c r="H36" s="542">
        <f t="shared" si="0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1"/>
      <c r="B37" s="530"/>
      <c r="C37" s="531"/>
      <c r="D37" s="542"/>
      <c r="E37" s="535"/>
      <c r="F37" s="542"/>
      <c r="G37" s="535">
        <f t="shared" ref="G37:H68" si="2">E37-C37</f>
        <v>0</v>
      </c>
      <c r="H37" s="542">
        <f t="shared" si="2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>
        <f t="shared" si="2"/>
        <v>0</v>
      </c>
      <c r="H38" s="542">
        <f t="shared" si="2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>
        <f t="shared" si="2"/>
        <v>0</v>
      </c>
      <c r="H39" s="542">
        <f t="shared" si="2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>
        <f t="shared" si="2"/>
        <v>0</v>
      </c>
      <c r="H40" s="542">
        <f t="shared" si="2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>
        <f t="shared" si="2"/>
        <v>0</v>
      </c>
      <c r="H41" s="542">
        <f t="shared" si="2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4.45" hidden="1" customHeight="1" x14ac:dyDescent="0.25">
      <c r="A42" s="530"/>
      <c r="B42" s="530"/>
      <c r="C42" s="531"/>
      <c r="D42" s="542"/>
      <c r="E42" s="535"/>
      <c r="F42" s="542"/>
      <c r="G42" s="535">
        <f t="shared" si="2"/>
        <v>0</v>
      </c>
      <c r="H42" s="542">
        <f t="shared" si="2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2"/>
        <v>0</v>
      </c>
      <c r="H43" s="542">
        <f t="shared" si="2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1"/>
      <c r="D44" s="542"/>
      <c r="E44" s="535"/>
      <c r="F44" s="542"/>
      <c r="G44" s="535">
        <f t="shared" si="2"/>
        <v>0</v>
      </c>
      <c r="H44" s="542">
        <f t="shared" si="2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0"/>
      <c r="D45" s="542"/>
      <c r="E45" s="535"/>
      <c r="F45" s="542"/>
      <c r="G45" s="535">
        <f t="shared" si="2"/>
        <v>0</v>
      </c>
      <c r="H45" s="542">
        <f t="shared" si="2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2"/>
        <v>0</v>
      </c>
      <c r="H46" s="542">
        <f t="shared" si="2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2"/>
        <v>0</v>
      </c>
      <c r="H47" s="542">
        <f t="shared" si="2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0"/>
      <c r="B48" s="530"/>
      <c r="C48" s="531"/>
      <c r="D48" s="542"/>
      <c r="E48" s="535"/>
      <c r="F48" s="542"/>
      <c r="G48" s="535">
        <f t="shared" si="2"/>
        <v>0</v>
      </c>
      <c r="H48" s="542">
        <f t="shared" si="2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7"/>
      <c r="B49" s="530"/>
      <c r="C49" s="531"/>
      <c r="D49" s="542"/>
      <c r="E49" s="535"/>
      <c r="F49" s="542"/>
      <c r="G49" s="535">
        <f t="shared" si="2"/>
        <v>0</v>
      </c>
      <c r="H49" s="542">
        <f t="shared" si="2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1"/>
      <c r="B50" s="530"/>
      <c r="C50" s="531"/>
      <c r="D50" s="542"/>
      <c r="E50" s="535"/>
      <c r="F50" s="542"/>
      <c r="G50" s="535">
        <f t="shared" si="2"/>
        <v>0</v>
      </c>
      <c r="H50" s="542">
        <f t="shared" si="2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2"/>
        <v>0</v>
      </c>
      <c r="H51" s="542">
        <f t="shared" si="2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2"/>
        <v>0</v>
      </c>
      <c r="H52" s="542">
        <f t="shared" si="2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2"/>
        <v>0</v>
      </c>
      <c r="H53" s="542">
        <f t="shared" si="2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2"/>
        <v>0</v>
      </c>
      <c r="H54" s="542">
        <f t="shared" si="2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2"/>
        <v>0</v>
      </c>
      <c r="H55" s="542">
        <f t="shared" si="2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2"/>
        <v>0</v>
      </c>
      <c r="H56" s="542">
        <f t="shared" si="2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0"/>
      <c r="D57" s="542"/>
      <c r="E57" s="530"/>
      <c r="F57" s="542"/>
      <c r="G57" s="535">
        <f t="shared" si="2"/>
        <v>0</v>
      </c>
      <c r="H57" s="542">
        <f t="shared" si="2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2"/>
        <v>0</v>
      </c>
      <c r="H58" s="542">
        <f t="shared" si="2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2"/>
        <v>0</v>
      </c>
      <c r="H59" s="542">
        <f t="shared" si="2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1"/>
      <c r="F60" s="542"/>
      <c r="G60" s="535">
        <f t="shared" si="2"/>
        <v>0</v>
      </c>
      <c r="H60" s="542">
        <f t="shared" si="2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2"/>
        <v>0</v>
      </c>
      <c r="H61" s="542">
        <f t="shared" si="2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2"/>
        <v>0</v>
      </c>
      <c r="H62" s="542">
        <f t="shared" si="2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2"/>
        <v>0</v>
      </c>
      <c r="H63" s="542">
        <f t="shared" si="2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2"/>
        <v>0</v>
      </c>
      <c r="H64" s="542">
        <f t="shared" si="2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2"/>
        <v>0</v>
      </c>
      <c r="H65" s="542">
        <f t="shared" si="2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2"/>
        <v>0</v>
      </c>
      <c r="H66" s="542">
        <f t="shared" si="2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2"/>
        <v>0</v>
      </c>
      <c r="H67" s="542">
        <f t="shared" si="2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si="2"/>
        <v>0</v>
      </c>
      <c r="H68" s="542">
        <f t="shared" si="2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1"/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ref="G69:H83" si="3">E69-C69</f>
        <v>0</v>
      </c>
      <c r="H69" s="542">
        <f t="shared" si="3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4">SUM(K69:Y69)</f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3"/>
        <v>0</v>
      </c>
      <c r="H70" s="542">
        <f t="shared" si="3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3"/>
        <v>0</v>
      </c>
      <c r="H71" s="542">
        <f t="shared" si="3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hidden="1" customHeight="1" x14ac:dyDescent="0.25">
      <c r="A72" s="530"/>
      <c r="B72" s="530"/>
      <c r="C72" s="531"/>
      <c r="D72" s="542"/>
      <c r="E72" s="535"/>
      <c r="F72" s="542"/>
      <c r="G72" s="535">
        <f t="shared" si="3"/>
        <v>0</v>
      </c>
      <c r="H72" s="542">
        <f t="shared" si="3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hidden="1" customHeight="1" x14ac:dyDescent="0.25">
      <c r="A73" s="534"/>
      <c r="B73" s="530"/>
      <c r="C73" s="531"/>
      <c r="D73" s="542"/>
      <c r="E73" s="535"/>
      <c r="F73" s="542"/>
      <c r="G73" s="535">
        <f t="shared" si="3"/>
        <v>0</v>
      </c>
      <c r="H73" s="542">
        <f t="shared" si="3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hidden="1" customHeight="1" x14ac:dyDescent="0.25">
      <c r="A74" s="530"/>
      <c r="B74" s="530"/>
      <c r="C74" s="531"/>
      <c r="D74" s="542"/>
      <c r="E74" s="535"/>
      <c r="F74" s="542"/>
      <c r="G74" s="535">
        <f t="shared" si="3"/>
        <v>0</v>
      </c>
      <c r="H74" s="542">
        <f t="shared" si="3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hidden="1" customHeight="1" x14ac:dyDescent="0.25">
      <c r="A75" s="534"/>
      <c r="B75" s="530"/>
      <c r="C75" s="531"/>
      <c r="D75" s="542"/>
      <c r="E75" s="535"/>
      <c r="F75" s="542"/>
      <c r="G75" s="535">
        <f t="shared" si="3"/>
        <v>0</v>
      </c>
      <c r="H75" s="542">
        <f t="shared" si="3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hidden="1" customHeight="1" x14ac:dyDescent="0.25">
      <c r="A76" s="530"/>
      <c r="B76" s="530"/>
      <c r="C76" s="531"/>
      <c r="D76" s="542"/>
      <c r="E76" s="535"/>
      <c r="F76" s="542"/>
      <c r="G76" s="535">
        <f t="shared" si="3"/>
        <v>0</v>
      </c>
      <c r="H76" s="542">
        <f t="shared" si="3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hidden="1" customHeight="1" x14ac:dyDescent="0.25">
      <c r="A77" s="533"/>
      <c r="B77" s="530"/>
      <c r="C77" s="531"/>
      <c r="D77" s="542"/>
      <c r="E77" s="535"/>
      <c r="F77" s="542"/>
      <c r="G77" s="535">
        <f t="shared" si="3"/>
        <v>0</v>
      </c>
      <c r="H77" s="542">
        <f t="shared" si="3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4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3"/>
        <v>0</v>
      </c>
      <c r="H78" s="542">
        <f t="shared" si="3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4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3"/>
        <v>0</v>
      </c>
      <c r="H79" s="542">
        <f t="shared" si="3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4"/>
        <v>0</v>
      </c>
    </row>
    <row r="80" spans="1:26" ht="15" hidden="1" customHeight="1" x14ac:dyDescent="0.25">
      <c r="A80" s="530"/>
      <c r="B80" s="530"/>
      <c r="C80" s="531"/>
      <c r="D80" s="542"/>
      <c r="E80" s="535"/>
      <c r="F80" s="542"/>
      <c r="G80" s="535">
        <f t="shared" si="3"/>
        <v>0</v>
      </c>
      <c r="H80" s="542">
        <f t="shared" si="3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4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3"/>
        <v>0</v>
      </c>
      <c r="H81" s="542">
        <f t="shared" si="3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4"/>
        <v>0</v>
      </c>
    </row>
    <row r="82" spans="1:26" ht="15" hidden="1" customHeight="1" x14ac:dyDescent="0.25">
      <c r="A82" s="530"/>
      <c r="B82" s="530"/>
      <c r="C82" s="530"/>
      <c r="D82" s="542"/>
      <c r="E82" s="535"/>
      <c r="F82" s="542"/>
      <c r="G82" s="535">
        <f t="shared" si="3"/>
        <v>0</v>
      </c>
      <c r="H82" s="542">
        <f t="shared" si="3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4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3"/>
        <v>0</v>
      </c>
      <c r="H83" s="542">
        <f t="shared" si="3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4"/>
        <v>0</v>
      </c>
    </row>
    <row r="84" spans="1:26" ht="15" customHeight="1" x14ac:dyDescent="0.25">
      <c r="A84" s="443" t="s">
        <v>1221</v>
      </c>
      <c r="B84" s="444"/>
      <c r="C84" s="447">
        <f t="shared" ref="C84:Z84" si="5">SUM(C5:C83)</f>
        <v>60</v>
      </c>
      <c r="D84" s="466">
        <f t="shared" si="5"/>
        <v>99898</v>
      </c>
      <c r="E84" s="447">
        <f t="shared" si="5"/>
        <v>60</v>
      </c>
      <c r="F84" s="466">
        <f t="shared" si="5"/>
        <v>103401</v>
      </c>
      <c r="G84" s="447">
        <f t="shared" si="5"/>
        <v>0</v>
      </c>
      <c r="H84" s="466">
        <f t="shared" si="5"/>
        <v>3503.0000000000018</v>
      </c>
      <c r="I84" s="448">
        <f t="shared" si="5"/>
        <v>0</v>
      </c>
      <c r="J84" s="447">
        <f t="shared" si="5"/>
        <v>37102</v>
      </c>
      <c r="K84" s="448">
        <f t="shared" si="5"/>
        <v>0</v>
      </c>
      <c r="L84" s="447">
        <f t="shared" si="5"/>
        <v>0</v>
      </c>
      <c r="M84" s="447">
        <f t="shared" si="5"/>
        <v>0</v>
      </c>
      <c r="N84" s="447">
        <f t="shared" si="5"/>
        <v>0</v>
      </c>
      <c r="O84" s="447">
        <f t="shared" si="5"/>
        <v>0</v>
      </c>
      <c r="P84" s="447">
        <f t="shared" si="5"/>
        <v>0</v>
      </c>
      <c r="Q84" s="447">
        <f t="shared" si="5"/>
        <v>0</v>
      </c>
      <c r="R84" s="447">
        <f t="shared" si="5"/>
        <v>0</v>
      </c>
      <c r="S84" s="447">
        <f t="shared" si="5"/>
        <v>0</v>
      </c>
      <c r="T84" s="447">
        <f t="shared" si="5"/>
        <v>0</v>
      </c>
      <c r="U84" s="447">
        <f t="shared" si="5"/>
        <v>0</v>
      </c>
      <c r="V84" s="447">
        <f t="shared" si="5"/>
        <v>0</v>
      </c>
      <c r="W84" s="447">
        <f t="shared" si="5"/>
        <v>0</v>
      </c>
      <c r="X84" s="447">
        <f t="shared" si="5"/>
        <v>0</v>
      </c>
      <c r="Y84" s="447">
        <f t="shared" si="5"/>
        <v>0</v>
      </c>
      <c r="Z84" s="447">
        <f t="shared" si="5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ht="15" customHeight="1" x14ac:dyDescent="0.25">
      <c r="A88" s="538" t="s">
        <v>1702</v>
      </c>
      <c r="B88" s="496" t="s">
        <v>115</v>
      </c>
      <c r="C88" s="497">
        <v>42592</v>
      </c>
      <c r="D88" s="498">
        <v>42789</v>
      </c>
      <c r="E88" s="499">
        <v>193</v>
      </c>
      <c r="F88" s="498">
        <v>42614</v>
      </c>
      <c r="G88" s="499">
        <v>5</v>
      </c>
      <c r="H88" s="554">
        <v>6572</v>
      </c>
      <c r="I88" s="554">
        <v>5000</v>
      </c>
      <c r="J88" s="554">
        <v>2629</v>
      </c>
      <c r="K88" s="496">
        <v>1</v>
      </c>
      <c r="L88" s="496"/>
      <c r="M88" s="496"/>
      <c r="N88" s="496">
        <v>1</v>
      </c>
      <c r="O88" s="496">
        <v>1</v>
      </c>
      <c r="P88" s="496">
        <v>1</v>
      </c>
      <c r="Q88" s="496"/>
      <c r="R88" s="496">
        <v>1</v>
      </c>
      <c r="S88" s="496"/>
      <c r="T88" s="496"/>
      <c r="U88" s="496"/>
      <c r="V88" s="496"/>
      <c r="W88" s="496"/>
      <c r="X88" s="496"/>
      <c r="Y88" s="496"/>
      <c r="Z88" s="496">
        <f t="shared" ref="Z88:Z91" si="6">SUM(K88:Y88)</f>
        <v>5</v>
      </c>
    </row>
    <row r="89" spans="1:26" ht="15" customHeight="1" x14ac:dyDescent="0.25">
      <c r="A89" s="538" t="s">
        <v>1703</v>
      </c>
      <c r="B89" s="496" t="s">
        <v>115</v>
      </c>
      <c r="C89" s="497">
        <v>42592</v>
      </c>
      <c r="D89" s="498">
        <v>42789</v>
      </c>
      <c r="E89" s="499">
        <v>193</v>
      </c>
      <c r="F89" s="498">
        <v>42614</v>
      </c>
      <c r="G89" s="499">
        <v>5</v>
      </c>
      <c r="H89" s="554">
        <v>6572</v>
      </c>
      <c r="I89" s="554">
        <v>5000</v>
      </c>
      <c r="J89" s="554">
        <v>2629</v>
      </c>
      <c r="K89" s="496">
        <v>1</v>
      </c>
      <c r="L89" s="496"/>
      <c r="M89" s="496"/>
      <c r="N89" s="496">
        <v>1</v>
      </c>
      <c r="O89" s="496">
        <v>1</v>
      </c>
      <c r="P89" s="496">
        <v>1</v>
      </c>
      <c r="Q89" s="496"/>
      <c r="R89" s="496">
        <v>1</v>
      </c>
      <c r="S89" s="496"/>
      <c r="T89" s="496"/>
      <c r="U89" s="496"/>
      <c r="V89" s="496"/>
      <c r="W89" s="496"/>
      <c r="X89" s="496"/>
      <c r="Y89" s="496"/>
      <c r="Z89" s="496">
        <f t="shared" si="6"/>
        <v>5</v>
      </c>
    </row>
    <row r="90" spans="1:26" ht="15" customHeight="1" x14ac:dyDescent="0.25">
      <c r="A90" s="538" t="s">
        <v>1704</v>
      </c>
      <c r="B90" s="535" t="s">
        <v>115</v>
      </c>
      <c r="C90" s="487">
        <v>42592</v>
      </c>
      <c r="D90" s="488">
        <v>42789</v>
      </c>
      <c r="E90" s="486">
        <v>193</v>
      </c>
      <c r="F90" s="488">
        <v>42614</v>
      </c>
      <c r="G90" s="486">
        <v>5</v>
      </c>
      <c r="H90" s="554">
        <v>6572</v>
      </c>
      <c r="I90" s="539">
        <v>5000</v>
      </c>
      <c r="J90" s="554">
        <v>2629</v>
      </c>
      <c r="K90" s="535">
        <v>1</v>
      </c>
      <c r="L90" s="535"/>
      <c r="M90" s="535"/>
      <c r="N90" s="535">
        <v>1</v>
      </c>
      <c r="O90" s="535">
        <v>1</v>
      </c>
      <c r="P90" s="535">
        <v>1</v>
      </c>
      <c r="Q90" s="535"/>
      <c r="R90" s="535">
        <v>1</v>
      </c>
      <c r="S90" s="535"/>
      <c r="T90" s="535"/>
      <c r="U90" s="535"/>
      <c r="V90" s="535"/>
      <c r="W90" s="535"/>
      <c r="X90" s="535"/>
      <c r="Y90" s="535"/>
      <c r="Z90" s="496">
        <f t="shared" si="6"/>
        <v>5</v>
      </c>
    </row>
    <row r="91" spans="1:26" ht="29.45" customHeight="1" x14ac:dyDescent="0.25">
      <c r="A91" s="538" t="s">
        <v>1705</v>
      </c>
      <c r="B91" s="535" t="s">
        <v>115</v>
      </c>
      <c r="C91" s="487">
        <v>42592</v>
      </c>
      <c r="D91" s="488">
        <v>42789</v>
      </c>
      <c r="E91" s="486">
        <v>193</v>
      </c>
      <c r="F91" s="488">
        <v>42614</v>
      </c>
      <c r="G91" s="486">
        <v>5</v>
      </c>
      <c r="H91" s="554">
        <v>6572</v>
      </c>
      <c r="I91" s="539">
        <v>5000</v>
      </c>
      <c r="J91" s="554">
        <v>2629</v>
      </c>
      <c r="K91" s="535">
        <v>1</v>
      </c>
      <c r="L91" s="535"/>
      <c r="M91" s="535"/>
      <c r="N91" s="535">
        <v>1</v>
      </c>
      <c r="O91" s="535">
        <v>1</v>
      </c>
      <c r="P91" s="535">
        <v>1</v>
      </c>
      <c r="Q91" s="535"/>
      <c r="R91" s="535">
        <v>1</v>
      </c>
      <c r="S91" s="535"/>
      <c r="T91" s="535"/>
      <c r="U91" s="535"/>
      <c r="V91" s="535"/>
      <c r="W91" s="535"/>
      <c r="X91" s="535"/>
      <c r="Y91" s="535"/>
      <c r="Z91" s="496">
        <f t="shared" si="6"/>
        <v>5</v>
      </c>
    </row>
    <row r="92" spans="1:26" ht="15" customHeight="1" x14ac:dyDescent="0.25">
      <c r="A92" s="538" t="s">
        <v>1706</v>
      </c>
      <c r="B92" s="535" t="s">
        <v>115</v>
      </c>
      <c r="C92" s="487">
        <v>42592</v>
      </c>
      <c r="D92" s="488">
        <v>42789</v>
      </c>
      <c r="E92" s="486">
        <v>193</v>
      </c>
      <c r="F92" s="488">
        <v>42614</v>
      </c>
      <c r="G92" s="486">
        <v>5</v>
      </c>
      <c r="H92" s="554">
        <v>6572</v>
      </c>
      <c r="I92" s="539">
        <v>5000</v>
      </c>
      <c r="J92" s="554">
        <v>2629</v>
      </c>
      <c r="K92" s="535">
        <v>1</v>
      </c>
      <c r="L92" s="535"/>
      <c r="M92" s="535"/>
      <c r="N92" s="535">
        <v>1</v>
      </c>
      <c r="O92" s="535">
        <v>1</v>
      </c>
      <c r="P92" s="535">
        <v>1</v>
      </c>
      <c r="Q92" s="535"/>
      <c r="R92" s="535">
        <v>1</v>
      </c>
      <c r="S92" s="535"/>
      <c r="T92" s="535"/>
      <c r="U92" s="535"/>
      <c r="V92" s="535"/>
      <c r="W92" s="535"/>
      <c r="X92" s="535"/>
      <c r="Y92" s="535"/>
      <c r="Z92" s="496">
        <f t="shared" ref="Z92:Z95" si="7">SUM(K92:Y92)</f>
        <v>5</v>
      </c>
    </row>
    <row r="93" spans="1:26" ht="15" customHeight="1" x14ac:dyDescent="0.25">
      <c r="A93" s="538" t="s">
        <v>1707</v>
      </c>
      <c r="B93" s="535" t="s">
        <v>115</v>
      </c>
      <c r="C93" s="487">
        <v>42592</v>
      </c>
      <c r="D93" s="488">
        <v>42789</v>
      </c>
      <c r="E93" s="486">
        <v>193</v>
      </c>
      <c r="F93" s="488">
        <v>42614</v>
      </c>
      <c r="G93" s="486">
        <v>5</v>
      </c>
      <c r="H93" s="554">
        <v>6572</v>
      </c>
      <c r="I93" s="539">
        <v>5000</v>
      </c>
      <c r="J93" s="554">
        <v>2629</v>
      </c>
      <c r="K93" s="535">
        <v>1</v>
      </c>
      <c r="L93" s="535"/>
      <c r="M93" s="535"/>
      <c r="N93" s="535">
        <v>1</v>
      </c>
      <c r="O93" s="535">
        <v>1</v>
      </c>
      <c r="P93" s="535">
        <v>1</v>
      </c>
      <c r="Q93" s="535"/>
      <c r="R93" s="535">
        <v>1</v>
      </c>
      <c r="S93" s="535"/>
      <c r="T93" s="535"/>
      <c r="U93" s="535"/>
      <c r="V93" s="535"/>
      <c r="W93" s="535"/>
      <c r="X93" s="535"/>
      <c r="Y93" s="535"/>
      <c r="Z93" s="496">
        <f t="shared" si="7"/>
        <v>5</v>
      </c>
    </row>
    <row r="94" spans="1:26" ht="15" customHeight="1" x14ac:dyDescent="0.25">
      <c r="A94" s="538" t="s">
        <v>1728</v>
      </c>
      <c r="B94" s="535" t="s">
        <v>100</v>
      </c>
      <c r="C94" s="487">
        <v>42675</v>
      </c>
      <c r="D94" s="488">
        <v>42796</v>
      </c>
      <c r="E94" s="486">
        <v>121</v>
      </c>
      <c r="F94" s="488">
        <v>42788</v>
      </c>
      <c r="G94" s="486">
        <v>4</v>
      </c>
      <c r="H94" s="539">
        <v>6572</v>
      </c>
      <c r="I94" s="456">
        <v>4500</v>
      </c>
      <c r="J94" s="456">
        <v>2629</v>
      </c>
      <c r="K94" s="535">
        <v>1</v>
      </c>
      <c r="L94" s="535"/>
      <c r="M94" s="535"/>
      <c r="N94" s="535"/>
      <c r="O94" s="535">
        <v>1</v>
      </c>
      <c r="P94" s="535">
        <v>1</v>
      </c>
      <c r="Q94" s="535"/>
      <c r="R94" s="535">
        <v>1</v>
      </c>
      <c r="S94" s="535"/>
      <c r="T94" s="535"/>
      <c r="U94" s="535"/>
      <c r="V94" s="535"/>
      <c r="W94" s="535"/>
      <c r="X94" s="535"/>
      <c r="Y94" s="535"/>
      <c r="Z94" s="496">
        <f t="shared" si="7"/>
        <v>4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496">
        <f t="shared" si="7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SUM(G94:G95)</f>
        <v>4</v>
      </c>
      <c r="H96" s="448">
        <f>SUM(H88:H95)</f>
        <v>46004</v>
      </c>
      <c r="I96" s="448">
        <f t="shared" ref="I96:J96" si="8">SUM(I88:I95)</f>
        <v>34500</v>
      </c>
      <c r="J96" s="448">
        <f t="shared" si="8"/>
        <v>18403</v>
      </c>
      <c r="K96" s="447">
        <f>SUM(K88:K95)</f>
        <v>7</v>
      </c>
      <c r="L96" s="447">
        <f t="shared" ref="L96:Z96" si="9">SUM(L88:L95)</f>
        <v>0</v>
      </c>
      <c r="M96" s="447">
        <f t="shared" si="9"/>
        <v>0</v>
      </c>
      <c r="N96" s="447">
        <f t="shared" si="9"/>
        <v>6</v>
      </c>
      <c r="O96" s="447">
        <f t="shared" si="9"/>
        <v>7</v>
      </c>
      <c r="P96" s="447">
        <f t="shared" si="9"/>
        <v>7</v>
      </c>
      <c r="Q96" s="447">
        <f t="shared" si="9"/>
        <v>0</v>
      </c>
      <c r="R96" s="447">
        <f t="shared" si="9"/>
        <v>7</v>
      </c>
      <c r="S96" s="447">
        <f t="shared" si="9"/>
        <v>0</v>
      </c>
      <c r="T96" s="447">
        <f t="shared" si="9"/>
        <v>0</v>
      </c>
      <c r="U96" s="447">
        <f t="shared" si="9"/>
        <v>0</v>
      </c>
      <c r="V96" s="447">
        <f t="shared" si="9"/>
        <v>0</v>
      </c>
      <c r="W96" s="447">
        <f t="shared" si="9"/>
        <v>0</v>
      </c>
      <c r="X96" s="447">
        <f t="shared" si="9"/>
        <v>0</v>
      </c>
      <c r="Y96" s="447">
        <f t="shared" si="9"/>
        <v>0</v>
      </c>
      <c r="Z96" s="447">
        <f t="shared" si="9"/>
        <v>34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68" t="s">
        <v>1</v>
      </c>
      <c r="B99" s="568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38" t="s">
        <v>1693</v>
      </c>
      <c r="B100" s="535" t="s">
        <v>115</v>
      </c>
      <c r="C100" s="487">
        <v>42719</v>
      </c>
      <c r="D100" s="488">
        <v>42768</v>
      </c>
      <c r="E100" s="486">
        <v>46</v>
      </c>
      <c r="F100" s="488">
        <v>42772</v>
      </c>
      <c r="G100" s="486">
        <v>1</v>
      </c>
      <c r="H100" s="539">
        <v>1643</v>
      </c>
      <c r="I100" s="539">
        <v>0</v>
      </c>
      <c r="J100" s="539">
        <v>657</v>
      </c>
      <c r="K100" s="535"/>
      <c r="L100" s="535"/>
      <c r="M100" s="535"/>
      <c r="N100" s="535"/>
      <c r="O100" s="535"/>
      <c r="P100" s="535">
        <v>1</v>
      </c>
      <c r="Q100" s="535"/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1</v>
      </c>
    </row>
    <row r="101" spans="1:26" s="457" customFormat="1" ht="15" customHeight="1" x14ac:dyDescent="0.25">
      <c r="A101" s="538" t="s">
        <v>1528</v>
      </c>
      <c r="B101" s="535" t="s">
        <v>115</v>
      </c>
      <c r="C101" s="487">
        <v>42759</v>
      </c>
      <c r="D101" s="488">
        <v>42780</v>
      </c>
      <c r="E101" s="486">
        <v>20</v>
      </c>
      <c r="F101" s="488">
        <v>42774</v>
      </c>
      <c r="G101" s="486">
        <v>1</v>
      </c>
      <c r="H101" s="539">
        <v>1643</v>
      </c>
      <c r="I101" s="539">
        <v>0</v>
      </c>
      <c r="J101" s="539">
        <v>657</v>
      </c>
      <c r="K101" s="535"/>
      <c r="L101" s="535"/>
      <c r="M101" s="535"/>
      <c r="N101" s="535"/>
      <c r="O101" s="535"/>
      <c r="P101" s="535">
        <v>1</v>
      </c>
      <c r="Q101" s="535"/>
      <c r="R101" s="535"/>
      <c r="S101" s="535"/>
      <c r="T101" s="535"/>
      <c r="U101" s="535"/>
      <c r="V101" s="535"/>
      <c r="W101" s="535"/>
      <c r="X101" s="535"/>
      <c r="Y101" s="452"/>
      <c r="Z101" s="535">
        <f t="shared" ref="Z101:Z108" si="10">SUM(K101:Y101)</f>
        <v>1</v>
      </c>
    </row>
    <row r="102" spans="1:26" s="457" customFormat="1" ht="15" customHeight="1" x14ac:dyDescent="0.25">
      <c r="A102" s="538" t="s">
        <v>1694</v>
      </c>
      <c r="B102" s="535" t="s">
        <v>115</v>
      </c>
      <c r="C102" s="487">
        <v>42769</v>
      </c>
      <c r="D102" s="488">
        <v>42774</v>
      </c>
      <c r="E102" s="486">
        <v>5</v>
      </c>
      <c r="F102" s="488">
        <v>42774</v>
      </c>
      <c r="G102" s="486">
        <v>0</v>
      </c>
      <c r="H102" s="539" t="s">
        <v>1695</v>
      </c>
      <c r="I102" s="539" t="s">
        <v>561</v>
      </c>
      <c r="J102" s="539" t="s">
        <v>561</v>
      </c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452"/>
      <c r="Z102" s="535">
        <f t="shared" si="10"/>
        <v>0</v>
      </c>
    </row>
    <row r="103" spans="1:26" s="457" customFormat="1" ht="15" customHeight="1" x14ac:dyDescent="0.25">
      <c r="A103" s="538" t="s">
        <v>1698</v>
      </c>
      <c r="B103" s="535" t="s">
        <v>115</v>
      </c>
      <c r="C103" s="487">
        <v>42741</v>
      </c>
      <c r="D103" s="488">
        <v>42780</v>
      </c>
      <c r="E103" s="486">
        <v>38</v>
      </c>
      <c r="F103" s="488">
        <v>42776</v>
      </c>
      <c r="G103" s="486">
        <v>1</v>
      </c>
      <c r="H103" s="539">
        <v>2485</v>
      </c>
      <c r="I103" s="539">
        <v>0</v>
      </c>
      <c r="J103" s="539">
        <v>994</v>
      </c>
      <c r="K103" s="535"/>
      <c r="L103" s="535"/>
      <c r="M103" s="535"/>
      <c r="N103" s="535"/>
      <c r="O103" s="535"/>
      <c r="P103" s="535"/>
      <c r="Q103" s="535"/>
      <c r="R103" s="535"/>
      <c r="S103" s="535">
        <v>1</v>
      </c>
      <c r="T103" s="535"/>
      <c r="U103" s="535"/>
      <c r="V103" s="535"/>
      <c r="W103" s="535"/>
      <c r="X103" s="535"/>
      <c r="Y103" s="452"/>
      <c r="Z103" s="535">
        <f t="shared" si="10"/>
        <v>1</v>
      </c>
    </row>
    <row r="104" spans="1:26" s="457" customFormat="1" ht="15" customHeight="1" x14ac:dyDescent="0.25">
      <c r="A104" s="538" t="s">
        <v>1520</v>
      </c>
      <c r="B104" s="535" t="s">
        <v>115</v>
      </c>
      <c r="C104" s="487">
        <v>42782</v>
      </c>
      <c r="D104" s="488">
        <v>42783</v>
      </c>
      <c r="E104" s="486">
        <v>1</v>
      </c>
      <c r="F104" s="488">
        <v>42786</v>
      </c>
      <c r="G104" s="486">
        <v>1</v>
      </c>
      <c r="H104" s="539">
        <v>1693</v>
      </c>
      <c r="I104" s="539">
        <v>0</v>
      </c>
      <c r="J104" s="539">
        <v>677</v>
      </c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>
        <v>1</v>
      </c>
      <c r="V104" s="535"/>
      <c r="W104" s="535"/>
      <c r="X104" s="535"/>
      <c r="Y104" s="452"/>
      <c r="Z104" s="535">
        <f t="shared" si="10"/>
        <v>1</v>
      </c>
    </row>
    <row r="105" spans="1:26" s="457" customFormat="1" ht="15" customHeight="1" x14ac:dyDescent="0.25">
      <c r="A105" s="538" t="s">
        <v>1709</v>
      </c>
      <c r="B105" s="452" t="s">
        <v>115</v>
      </c>
      <c r="C105" s="453">
        <v>42592</v>
      </c>
      <c r="D105" s="454">
        <v>42789</v>
      </c>
      <c r="E105" s="455">
        <v>193</v>
      </c>
      <c r="F105" s="454">
        <v>42614</v>
      </c>
      <c r="G105" s="455">
        <v>2</v>
      </c>
      <c r="H105" s="456">
        <f>6572-6010</f>
        <v>562</v>
      </c>
      <c r="I105" s="456">
        <v>0</v>
      </c>
      <c r="J105" s="456">
        <f>2629-2404</f>
        <v>225</v>
      </c>
      <c r="K105" s="452"/>
      <c r="L105" s="452"/>
      <c r="M105" s="452"/>
      <c r="N105" s="452">
        <v>1</v>
      </c>
      <c r="O105" s="452">
        <v>1</v>
      </c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10"/>
        <v>2</v>
      </c>
    </row>
    <row r="106" spans="1:26" s="457" customFormat="1" ht="15" customHeight="1" x14ac:dyDescent="0.25">
      <c r="A106" s="538" t="s">
        <v>1708</v>
      </c>
      <c r="B106" s="452" t="s">
        <v>115</v>
      </c>
      <c r="C106" s="453">
        <v>42592</v>
      </c>
      <c r="D106" s="454">
        <v>42789</v>
      </c>
      <c r="E106" s="455">
        <v>193</v>
      </c>
      <c r="F106" s="454">
        <v>42614</v>
      </c>
      <c r="G106" s="455">
        <v>2</v>
      </c>
      <c r="H106" s="456">
        <f>6572-4929</f>
        <v>1643</v>
      </c>
      <c r="I106" s="456">
        <v>0</v>
      </c>
      <c r="J106" s="456">
        <f>2629-1972</f>
        <v>657</v>
      </c>
      <c r="K106" s="452"/>
      <c r="L106" s="452"/>
      <c r="M106" s="452"/>
      <c r="N106" s="452">
        <v>1</v>
      </c>
      <c r="O106" s="452">
        <v>1</v>
      </c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10"/>
        <v>2</v>
      </c>
    </row>
    <row r="107" spans="1:26" s="457" customFormat="1" ht="15" customHeight="1" x14ac:dyDescent="0.25">
      <c r="A107" s="538" t="s">
        <v>1726</v>
      </c>
      <c r="B107" s="452" t="s">
        <v>115</v>
      </c>
      <c r="C107" s="453">
        <v>42758</v>
      </c>
      <c r="D107" s="454">
        <v>42796</v>
      </c>
      <c r="E107" s="455">
        <v>39</v>
      </c>
      <c r="F107" s="454">
        <v>42793</v>
      </c>
      <c r="G107" s="455">
        <v>0</v>
      </c>
      <c r="H107" s="456">
        <v>0</v>
      </c>
      <c r="I107" s="456">
        <v>1400</v>
      </c>
      <c r="J107" s="456">
        <v>0</v>
      </c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>
        <f t="shared" si="10"/>
        <v>0</v>
      </c>
    </row>
    <row r="108" spans="1:26" s="457" customFormat="1" ht="15" customHeight="1" x14ac:dyDescent="0.25">
      <c r="A108" s="538" t="s">
        <v>1645</v>
      </c>
      <c r="B108" s="535" t="s">
        <v>100</v>
      </c>
      <c r="C108" s="487">
        <v>42752</v>
      </c>
      <c r="D108" s="488">
        <v>42788</v>
      </c>
      <c r="E108" s="486">
        <v>5</v>
      </c>
      <c r="F108" s="488">
        <v>42736</v>
      </c>
      <c r="G108" s="486">
        <v>2</v>
      </c>
      <c r="H108" s="539">
        <v>3286</v>
      </c>
      <c r="I108" s="539">
        <v>0</v>
      </c>
      <c r="J108" s="539">
        <v>1314</v>
      </c>
      <c r="K108" s="535"/>
      <c r="L108" s="535">
        <v>1</v>
      </c>
      <c r="M108" s="535">
        <v>1</v>
      </c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452"/>
      <c r="Z108" s="535">
        <f t="shared" si="10"/>
        <v>2</v>
      </c>
    </row>
    <row r="109" spans="1:26" ht="15" customHeight="1" x14ac:dyDescent="0.25">
      <c r="A109" s="443" t="s">
        <v>450</v>
      </c>
      <c r="B109" s="444"/>
      <c r="C109" s="445"/>
      <c r="D109" s="446"/>
      <c r="E109" s="447"/>
      <c r="F109" s="446"/>
      <c r="G109" s="447">
        <f t="shared" ref="G109:Z109" si="11">SUM(G100:G108)</f>
        <v>10</v>
      </c>
      <c r="H109" s="448">
        <f t="shared" si="11"/>
        <v>12955</v>
      </c>
      <c r="I109" s="448">
        <f>SUM(I100:I108)</f>
        <v>1400</v>
      </c>
      <c r="J109" s="448">
        <f>SUM(J100:J108)</f>
        <v>5181</v>
      </c>
      <c r="K109" s="447">
        <f t="shared" si="11"/>
        <v>0</v>
      </c>
      <c r="L109" s="447">
        <f t="shared" si="11"/>
        <v>1</v>
      </c>
      <c r="M109" s="447">
        <f t="shared" si="11"/>
        <v>1</v>
      </c>
      <c r="N109" s="447">
        <f t="shared" si="11"/>
        <v>2</v>
      </c>
      <c r="O109" s="447">
        <f t="shared" si="11"/>
        <v>2</v>
      </c>
      <c r="P109" s="447">
        <f t="shared" si="11"/>
        <v>2</v>
      </c>
      <c r="Q109" s="447">
        <f t="shared" si="11"/>
        <v>0</v>
      </c>
      <c r="R109" s="447">
        <f t="shared" si="11"/>
        <v>0</v>
      </c>
      <c r="S109" s="447">
        <f t="shared" si="11"/>
        <v>1</v>
      </c>
      <c r="T109" s="447">
        <f t="shared" si="11"/>
        <v>0</v>
      </c>
      <c r="U109" s="447">
        <f t="shared" si="11"/>
        <v>1</v>
      </c>
      <c r="V109" s="447">
        <f t="shared" si="11"/>
        <v>0</v>
      </c>
      <c r="W109" s="447">
        <f t="shared" si="11"/>
        <v>0</v>
      </c>
      <c r="X109" s="447"/>
      <c r="Y109" s="447"/>
      <c r="Z109" s="447">
        <f t="shared" si="11"/>
        <v>10</v>
      </c>
    </row>
    <row r="111" spans="1:26" x14ac:dyDescent="0.25">
      <c r="A111" s="739" t="s">
        <v>1229</v>
      </c>
      <c r="B111" s="739"/>
    </row>
    <row r="112" spans="1:26" ht="30" x14ac:dyDescent="0.25">
      <c r="A112" s="568" t="s">
        <v>1</v>
      </c>
      <c r="B112" s="568" t="s">
        <v>59</v>
      </c>
      <c r="C112" s="425"/>
      <c r="D112" s="425"/>
      <c r="E112" s="425"/>
      <c r="F112" s="426"/>
      <c r="G112" s="432" t="s">
        <v>1225</v>
      </c>
      <c r="H112" s="427" t="s">
        <v>1224</v>
      </c>
      <c r="I112" s="427" t="s">
        <v>1498</v>
      </c>
      <c r="J112" s="427" t="s">
        <v>94</v>
      </c>
      <c r="K112" s="424" t="s">
        <v>681</v>
      </c>
      <c r="L112" s="424" t="s">
        <v>1496</v>
      </c>
      <c r="M112" s="424" t="s">
        <v>1497</v>
      </c>
      <c r="N112" s="424" t="s">
        <v>682</v>
      </c>
      <c r="O112" s="424" t="s">
        <v>683</v>
      </c>
      <c r="P112" s="424" t="s">
        <v>87</v>
      </c>
      <c r="Q112" s="424" t="s">
        <v>684</v>
      </c>
      <c r="R112" s="424" t="s">
        <v>685</v>
      </c>
      <c r="S112" s="424" t="s">
        <v>690</v>
      </c>
      <c r="T112" s="424" t="s">
        <v>686</v>
      </c>
      <c r="U112" s="424" t="s">
        <v>687</v>
      </c>
      <c r="V112" s="424" t="s">
        <v>688</v>
      </c>
      <c r="W112" s="424" t="s">
        <v>689</v>
      </c>
      <c r="X112" s="424" t="s">
        <v>138</v>
      </c>
      <c r="Y112" s="424" t="s">
        <v>1385</v>
      </c>
      <c r="Z112" s="424" t="s">
        <v>1238</v>
      </c>
    </row>
    <row r="113" spans="1:26" s="457" customFormat="1" ht="15" customHeight="1" x14ac:dyDescent="0.25">
      <c r="A113" s="565" t="s">
        <v>1699</v>
      </c>
      <c r="B113" s="535" t="s">
        <v>1620</v>
      </c>
      <c r="C113" s="487">
        <v>42752</v>
      </c>
      <c r="D113" s="488">
        <v>42781</v>
      </c>
      <c r="E113" s="486">
        <v>28</v>
      </c>
      <c r="F113" s="488">
        <v>42781</v>
      </c>
      <c r="G113" s="486">
        <v>7</v>
      </c>
      <c r="H113" s="539">
        <v>-11501</v>
      </c>
      <c r="I113" s="539">
        <v>0</v>
      </c>
      <c r="J113" s="539">
        <v>-4600</v>
      </c>
      <c r="K113" s="535"/>
      <c r="L113" s="535"/>
      <c r="M113" s="535"/>
      <c r="N113" s="535">
        <v>-1</v>
      </c>
      <c r="O113" s="535">
        <v>-1</v>
      </c>
      <c r="P113" s="535"/>
      <c r="Q113" s="535"/>
      <c r="R113" s="535">
        <v>-1</v>
      </c>
      <c r="S113" s="535">
        <v>-1</v>
      </c>
      <c r="T113" s="535">
        <v>-1</v>
      </c>
      <c r="U113" s="535">
        <v>-1</v>
      </c>
      <c r="V113" s="535">
        <v>-1</v>
      </c>
      <c r="W113" s="535"/>
      <c r="X113" s="535"/>
      <c r="Y113" s="535"/>
      <c r="Z113" s="535">
        <f t="shared" ref="Z113:Z121" si="12">SUM(K113:Y113)</f>
        <v>-7</v>
      </c>
    </row>
    <row r="114" spans="1:26" ht="15" customHeight="1" x14ac:dyDescent="0.25">
      <c r="A114" s="565" t="s">
        <v>1724</v>
      </c>
      <c r="B114" s="535" t="s">
        <v>115</v>
      </c>
      <c r="C114" s="487">
        <v>42758</v>
      </c>
      <c r="D114" s="488">
        <v>42793</v>
      </c>
      <c r="E114" s="486">
        <v>34</v>
      </c>
      <c r="F114" s="488">
        <v>42793</v>
      </c>
      <c r="G114" s="486">
        <v>1</v>
      </c>
      <c r="H114" s="539">
        <v>-2304</v>
      </c>
      <c r="I114" s="539"/>
      <c r="J114" s="539">
        <v>0</v>
      </c>
      <c r="K114" s="535"/>
      <c r="L114" s="535"/>
      <c r="M114" s="535"/>
      <c r="N114" s="535"/>
      <c r="O114" s="535"/>
      <c r="P114" s="535"/>
      <c r="Q114" s="535"/>
      <c r="R114" s="535"/>
      <c r="S114" s="535"/>
      <c r="T114" s="535">
        <v>-1</v>
      </c>
      <c r="U114" s="535"/>
      <c r="V114" s="535"/>
      <c r="W114" s="535"/>
      <c r="X114" s="535"/>
      <c r="Y114" s="535"/>
      <c r="Z114" s="535">
        <f t="shared" si="12"/>
        <v>-1</v>
      </c>
    </row>
    <row r="115" spans="1:26" ht="15" customHeight="1" x14ac:dyDescent="0.25">
      <c r="A115" s="538"/>
      <c r="B115" s="535"/>
      <c r="C115" s="487"/>
      <c r="D115" s="488"/>
      <c r="E115" s="486"/>
      <c r="F115" s="488"/>
      <c r="G115" s="486"/>
      <c r="H115" s="539"/>
      <c r="I115" s="539"/>
      <c r="J115" s="539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>
        <f t="shared" si="12"/>
        <v>0</v>
      </c>
    </row>
    <row r="116" spans="1:26" s="457" customFormat="1" ht="15" customHeight="1" x14ac:dyDescent="0.25">
      <c r="A116" s="531"/>
      <c r="B116" s="535"/>
      <c r="C116" s="487"/>
      <c r="D116" s="488"/>
      <c r="E116" s="486"/>
      <c r="F116" s="488"/>
      <c r="G116" s="486"/>
      <c r="H116" s="542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ref="Z116:Z118" si="13">SUM(K116:Y116)</f>
        <v>0</v>
      </c>
    </row>
    <row r="117" spans="1:26" ht="15" customHeight="1" x14ac:dyDescent="0.25">
      <c r="A117" s="531"/>
      <c r="B117" s="535"/>
      <c r="C117" s="487"/>
      <c r="D117" s="488"/>
      <c r="E117" s="486"/>
      <c r="F117" s="488"/>
      <c r="G117" s="486"/>
      <c r="H117" s="542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3"/>
        <v>0</v>
      </c>
    </row>
    <row r="118" spans="1:26" ht="15" customHeight="1" x14ac:dyDescent="0.25">
      <c r="A118" s="531"/>
      <c r="B118" s="535"/>
      <c r="C118" s="487"/>
      <c r="D118" s="488"/>
      <c r="E118" s="486"/>
      <c r="F118" s="488"/>
      <c r="G118" s="486"/>
      <c r="H118" s="542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3"/>
        <v>0</v>
      </c>
    </row>
    <row r="119" spans="1:26" s="457" customFormat="1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2"/>
        <v>0</v>
      </c>
    </row>
    <row r="120" spans="1:26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2"/>
        <v>0</v>
      </c>
    </row>
    <row r="121" spans="1:26" ht="15" customHeight="1" x14ac:dyDescent="0.25">
      <c r="A121" s="538"/>
      <c r="B121" s="535"/>
      <c r="C121" s="487"/>
      <c r="D121" s="488"/>
      <c r="E121" s="486"/>
      <c r="F121" s="488"/>
      <c r="G121" s="486"/>
      <c r="H121" s="539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2"/>
        <v>0</v>
      </c>
    </row>
    <row r="122" spans="1:26" ht="15" customHeight="1" x14ac:dyDescent="0.25">
      <c r="A122" s="443" t="s">
        <v>1230</v>
      </c>
      <c r="B122" s="444"/>
      <c r="C122" s="445"/>
      <c r="D122" s="446"/>
      <c r="E122" s="447"/>
      <c r="F122" s="446"/>
      <c r="G122" s="447">
        <f>SUM(G113:G121)</f>
        <v>8</v>
      </c>
      <c r="H122" s="448">
        <f>SUM(H113:H121)</f>
        <v>-13805</v>
      </c>
      <c r="I122" s="448">
        <f t="shared" ref="I122:J122" si="14">SUM(I113:I121)</f>
        <v>0</v>
      </c>
      <c r="J122" s="448">
        <f t="shared" si="14"/>
        <v>-4600</v>
      </c>
      <c r="K122" s="447">
        <f>SUM(K113:K121)</f>
        <v>0</v>
      </c>
      <c r="L122" s="447">
        <f t="shared" ref="L122:Z122" si="15">SUM(L113:L121)</f>
        <v>0</v>
      </c>
      <c r="M122" s="447">
        <f t="shared" si="15"/>
        <v>0</v>
      </c>
      <c r="N122" s="447">
        <f t="shared" si="15"/>
        <v>-1</v>
      </c>
      <c r="O122" s="447">
        <f t="shared" si="15"/>
        <v>-1</v>
      </c>
      <c r="P122" s="447">
        <f t="shared" si="15"/>
        <v>0</v>
      </c>
      <c r="Q122" s="447">
        <f t="shared" si="15"/>
        <v>0</v>
      </c>
      <c r="R122" s="447">
        <f t="shared" si="15"/>
        <v>-1</v>
      </c>
      <c r="S122" s="447">
        <f t="shared" si="15"/>
        <v>-1</v>
      </c>
      <c r="T122" s="447">
        <f t="shared" si="15"/>
        <v>-2</v>
      </c>
      <c r="U122" s="447">
        <f t="shared" si="15"/>
        <v>-1</v>
      </c>
      <c r="V122" s="447">
        <f t="shared" si="15"/>
        <v>-1</v>
      </c>
      <c r="W122" s="447">
        <f t="shared" si="15"/>
        <v>0</v>
      </c>
      <c r="X122" s="447">
        <f t="shared" si="15"/>
        <v>0</v>
      </c>
      <c r="Y122" s="447">
        <f t="shared" si="15"/>
        <v>0</v>
      </c>
      <c r="Z122" s="447">
        <f t="shared" si="15"/>
        <v>-8</v>
      </c>
    </row>
    <row r="124" spans="1:26" x14ac:dyDescent="0.25">
      <c r="A124" s="739" t="s">
        <v>1231</v>
      </c>
      <c r="B124" s="739"/>
    </row>
    <row r="125" spans="1:26" ht="30" x14ac:dyDescent="0.25">
      <c r="A125" s="568" t="s">
        <v>1</v>
      </c>
      <c r="B125" s="568" t="s">
        <v>59</v>
      </c>
      <c r="C125" s="425"/>
      <c r="D125" s="425"/>
      <c r="E125" s="425"/>
      <c r="F125" s="426"/>
      <c r="G125" s="432" t="s">
        <v>1225</v>
      </c>
      <c r="H125" s="427" t="s">
        <v>1224</v>
      </c>
      <c r="I125" s="427" t="s">
        <v>1498</v>
      </c>
      <c r="J125" s="427" t="s">
        <v>94</v>
      </c>
      <c r="K125" s="424" t="s">
        <v>681</v>
      </c>
      <c r="L125" s="424" t="s">
        <v>1496</v>
      </c>
      <c r="M125" s="424" t="s">
        <v>1497</v>
      </c>
      <c r="N125" s="424" t="s">
        <v>682</v>
      </c>
      <c r="O125" s="424" t="s">
        <v>683</v>
      </c>
      <c r="P125" s="424" t="s">
        <v>87</v>
      </c>
      <c r="Q125" s="424" t="s">
        <v>684</v>
      </c>
      <c r="R125" s="424" t="s">
        <v>685</v>
      </c>
      <c r="S125" s="424" t="s">
        <v>690</v>
      </c>
      <c r="T125" s="424" t="s">
        <v>686</v>
      </c>
      <c r="U125" s="424" t="s">
        <v>687</v>
      </c>
      <c r="V125" s="424" t="s">
        <v>688</v>
      </c>
      <c r="W125" s="424" t="s">
        <v>689</v>
      </c>
      <c r="X125" s="424" t="s">
        <v>138</v>
      </c>
      <c r="Y125" s="424" t="s">
        <v>1385</v>
      </c>
      <c r="Z125" s="424" t="s">
        <v>1238</v>
      </c>
    </row>
    <row r="126" spans="1:26" ht="15" customHeight="1" x14ac:dyDescent="0.25">
      <c r="A126" s="538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ref="Z126:Z128" si="16">SUM(K126:Y126)</f>
        <v>0</v>
      </c>
    </row>
    <row r="127" spans="1:26" ht="15" customHeight="1" x14ac:dyDescent="0.25">
      <c r="A127" s="531"/>
      <c r="B127" s="535"/>
      <c r="C127" s="487"/>
      <c r="D127" s="488"/>
      <c r="E127" s="486"/>
      <c r="F127" s="488"/>
      <c r="G127" s="486"/>
      <c r="H127" s="539"/>
      <c r="I127" s="539"/>
      <c r="J127" s="539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>
        <f t="shared" si="16"/>
        <v>0</v>
      </c>
    </row>
    <row r="128" spans="1:26" ht="15" customHeight="1" x14ac:dyDescent="0.25">
      <c r="A128" s="538"/>
      <c r="B128" s="535"/>
      <c r="C128" s="487"/>
      <c r="D128" s="488"/>
      <c r="E128" s="486"/>
      <c r="F128" s="488"/>
      <c r="G128" s="486"/>
      <c r="H128" s="539"/>
      <c r="I128" s="539"/>
      <c r="J128" s="539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>
        <f t="shared" si="16"/>
        <v>0</v>
      </c>
    </row>
    <row r="129" spans="1:26" ht="15" customHeight="1" x14ac:dyDescent="0.25">
      <c r="A129" s="443" t="s">
        <v>1230</v>
      </c>
      <c r="B129" s="444"/>
      <c r="C129" s="445"/>
      <c r="D129" s="446"/>
      <c r="E129" s="447"/>
      <c r="F129" s="446"/>
      <c r="G129" s="447">
        <f>SUM(G126:G128)</f>
        <v>0</v>
      </c>
      <c r="H129" s="448">
        <f>SUM(H126:H128)</f>
        <v>0</v>
      </c>
      <c r="I129" s="448">
        <f t="shared" ref="I129:Z129" si="17">SUM(I126:I128)</f>
        <v>0</v>
      </c>
      <c r="J129" s="448">
        <f t="shared" si="17"/>
        <v>0</v>
      </c>
      <c r="K129" s="447">
        <f t="shared" si="17"/>
        <v>0</v>
      </c>
      <c r="L129" s="447">
        <f t="shared" si="17"/>
        <v>0</v>
      </c>
      <c r="M129" s="447">
        <f t="shared" si="17"/>
        <v>0</v>
      </c>
      <c r="N129" s="447">
        <f t="shared" si="17"/>
        <v>0</v>
      </c>
      <c r="O129" s="447">
        <f t="shared" si="17"/>
        <v>0</v>
      </c>
      <c r="P129" s="447">
        <f t="shared" si="17"/>
        <v>0</v>
      </c>
      <c r="Q129" s="447">
        <f t="shared" si="17"/>
        <v>0</v>
      </c>
      <c r="R129" s="447">
        <f t="shared" si="17"/>
        <v>0</v>
      </c>
      <c r="S129" s="447">
        <f t="shared" si="17"/>
        <v>0</v>
      </c>
      <c r="T129" s="447">
        <f t="shared" si="17"/>
        <v>0</v>
      </c>
      <c r="U129" s="447">
        <f t="shared" si="17"/>
        <v>0</v>
      </c>
      <c r="V129" s="447">
        <f t="shared" si="17"/>
        <v>0</v>
      </c>
      <c r="W129" s="447">
        <f t="shared" si="17"/>
        <v>0</v>
      </c>
      <c r="X129" s="447"/>
      <c r="Y129" s="447"/>
      <c r="Z129" s="447">
        <f t="shared" si="17"/>
        <v>0</v>
      </c>
    </row>
    <row r="130" spans="1:26" ht="15.75" thickBot="1" x14ac:dyDescent="0.3"/>
    <row r="131" spans="1:26" ht="15.75" thickBot="1" x14ac:dyDescent="0.3">
      <c r="A131" s="436" t="s">
        <v>1232</v>
      </c>
      <c r="B131" s="434"/>
      <c r="C131" s="434"/>
      <c r="D131" s="434"/>
      <c r="E131" s="434"/>
      <c r="F131" s="434"/>
      <c r="G131" s="437">
        <f t="shared" ref="G131:Y131" si="18">G84+G96+G109+G122+G129</f>
        <v>22</v>
      </c>
      <c r="H131" s="438">
        <f t="shared" si="18"/>
        <v>48657</v>
      </c>
      <c r="I131" s="438">
        <f t="shared" si="18"/>
        <v>35900</v>
      </c>
      <c r="J131" s="438">
        <f t="shared" si="18"/>
        <v>56086</v>
      </c>
      <c r="K131" s="450">
        <f t="shared" si="18"/>
        <v>7</v>
      </c>
      <c r="L131" s="450">
        <f t="shared" si="18"/>
        <v>1</v>
      </c>
      <c r="M131" s="450">
        <f t="shared" si="18"/>
        <v>1</v>
      </c>
      <c r="N131" s="450">
        <f t="shared" si="18"/>
        <v>7</v>
      </c>
      <c r="O131" s="450">
        <f t="shared" si="18"/>
        <v>8</v>
      </c>
      <c r="P131" s="450">
        <f t="shared" si="18"/>
        <v>9</v>
      </c>
      <c r="Q131" s="450">
        <f t="shared" si="18"/>
        <v>0</v>
      </c>
      <c r="R131" s="450">
        <f t="shared" si="18"/>
        <v>6</v>
      </c>
      <c r="S131" s="450">
        <f t="shared" si="18"/>
        <v>0</v>
      </c>
      <c r="T131" s="450">
        <f t="shared" si="18"/>
        <v>-2</v>
      </c>
      <c r="U131" s="450">
        <f t="shared" si="18"/>
        <v>0</v>
      </c>
      <c r="V131" s="450">
        <f t="shared" si="18"/>
        <v>-1</v>
      </c>
      <c r="W131" s="450">
        <f t="shared" si="18"/>
        <v>0</v>
      </c>
      <c r="X131" s="450">
        <f t="shared" si="18"/>
        <v>0</v>
      </c>
      <c r="Y131" s="450">
        <f t="shared" si="18"/>
        <v>0</v>
      </c>
      <c r="Z131" s="450">
        <f>Z84+Z96+Z109+Z122+Z129</f>
        <v>36</v>
      </c>
    </row>
    <row r="132" spans="1:26" ht="15.75" thickBot="1" x14ac:dyDescent="0.3">
      <c r="A132" s="436" t="s">
        <v>64</v>
      </c>
      <c r="B132" s="434"/>
      <c r="C132" s="434"/>
      <c r="D132" s="434"/>
      <c r="E132" s="434"/>
      <c r="F132" s="434"/>
      <c r="G132" s="437"/>
      <c r="H132" s="438"/>
      <c r="I132" s="438"/>
      <c r="J132" s="438"/>
    </row>
    <row r="133" spans="1:26" ht="15.75" thickBot="1" x14ac:dyDescent="0.3">
      <c r="A133" s="439" t="s">
        <v>452</v>
      </c>
      <c r="B133" s="440"/>
      <c r="C133" s="440"/>
      <c r="D133" s="440"/>
      <c r="E133" s="440"/>
      <c r="F133" s="440"/>
      <c r="G133" s="441"/>
      <c r="H133" s="442">
        <f>H131-H132</f>
        <v>48657</v>
      </c>
      <c r="I133" s="442"/>
      <c r="J133" s="442"/>
    </row>
    <row r="136" spans="1:26" x14ac:dyDescent="0.25">
      <c r="H136" s="435">
        <f>H84+H109+H122+H129</f>
        <v>2653</v>
      </c>
      <c r="I136" s="435"/>
      <c r="J136" s="435"/>
    </row>
  </sheetData>
  <sortState ref="A100:Z108">
    <sortCondition ref="B100:B108"/>
  </sortState>
  <mergeCells count="8">
    <mergeCell ref="G3:H3"/>
    <mergeCell ref="A86:B86"/>
    <mergeCell ref="A98:B98"/>
    <mergeCell ref="A111:B111"/>
    <mergeCell ref="A124:B124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16"/>
  <sheetViews>
    <sheetView workbookViewId="0">
      <selection activeCell="E18" sqref="E18"/>
    </sheetView>
  </sheetViews>
  <sheetFormatPr defaultRowHeight="15" x14ac:dyDescent="0.25"/>
  <cols>
    <col min="1" max="1" width="9.140625" style="3"/>
    <col min="2" max="2" width="37.7109375" bestFit="1" customWidth="1"/>
    <col min="3" max="3" width="16.85546875" style="411" bestFit="1" customWidth="1"/>
    <col min="4" max="4" width="17.42578125" customWidth="1"/>
    <col min="5" max="5" width="20" customWidth="1"/>
  </cols>
  <sheetData>
    <row r="1" spans="1:6" s="3" customFormat="1" ht="30" x14ac:dyDescent="0.25">
      <c r="A1" s="6"/>
      <c r="B1" s="4" t="s">
        <v>1</v>
      </c>
      <c r="C1" s="409" t="s">
        <v>675</v>
      </c>
      <c r="D1" s="5" t="s">
        <v>673</v>
      </c>
      <c r="E1" s="8" t="s">
        <v>674</v>
      </c>
      <c r="F1" s="7"/>
    </row>
    <row r="2" spans="1:6" s="3" customFormat="1" x14ac:dyDescent="0.25">
      <c r="A2" s="6" t="s">
        <v>60</v>
      </c>
      <c r="B2" s="9" t="s">
        <v>661</v>
      </c>
      <c r="C2" s="412"/>
      <c r="D2" s="6">
        <v>8</v>
      </c>
      <c r="E2" s="10">
        <v>10400</v>
      </c>
      <c r="F2" s="7"/>
    </row>
    <row r="3" spans="1:6" s="3" customFormat="1" x14ac:dyDescent="0.25">
      <c r="A3" s="6" t="s">
        <v>61</v>
      </c>
      <c r="B3" s="9" t="s">
        <v>662</v>
      </c>
      <c r="C3" s="412"/>
      <c r="D3" s="6">
        <v>7</v>
      </c>
      <c r="E3" s="10">
        <v>6600</v>
      </c>
      <c r="F3" s="7"/>
    </row>
    <row r="4" spans="1:6" s="3" customFormat="1" x14ac:dyDescent="0.25">
      <c r="A4" s="6" t="s">
        <v>60</v>
      </c>
      <c r="B4" s="9" t="s">
        <v>663</v>
      </c>
      <c r="C4" s="412"/>
      <c r="D4" s="6">
        <v>6</v>
      </c>
      <c r="E4" s="10">
        <v>9700</v>
      </c>
      <c r="F4" s="7"/>
    </row>
    <row r="5" spans="1:6" s="3" customFormat="1" x14ac:dyDescent="0.25">
      <c r="A5" s="6" t="s">
        <v>61</v>
      </c>
      <c r="B5" s="9" t="s">
        <v>664</v>
      </c>
      <c r="C5" s="412"/>
      <c r="D5" s="6">
        <v>5</v>
      </c>
      <c r="E5" s="10">
        <v>10700</v>
      </c>
      <c r="F5" s="7"/>
    </row>
    <row r="6" spans="1:6" s="3" customFormat="1" x14ac:dyDescent="0.25">
      <c r="A6" s="6" t="s">
        <v>60</v>
      </c>
      <c r="B6" s="9" t="s">
        <v>665</v>
      </c>
      <c r="C6" s="412"/>
      <c r="D6" s="6">
        <v>5</v>
      </c>
      <c r="E6" s="10">
        <v>9500</v>
      </c>
      <c r="F6" s="7"/>
    </row>
    <row r="7" spans="1:6" s="3" customFormat="1" x14ac:dyDescent="0.25">
      <c r="A7" s="6" t="s">
        <v>61</v>
      </c>
      <c r="B7" s="9" t="s">
        <v>666</v>
      </c>
      <c r="C7" s="412"/>
      <c r="D7" s="6">
        <v>4</v>
      </c>
      <c r="E7" s="10">
        <v>6200</v>
      </c>
      <c r="F7" s="7"/>
    </row>
    <row r="8" spans="1:6" s="3" customFormat="1" x14ac:dyDescent="0.25">
      <c r="A8" s="6" t="s">
        <v>61</v>
      </c>
      <c r="B8" s="9" t="s">
        <v>667</v>
      </c>
      <c r="C8" s="412"/>
      <c r="D8" s="6">
        <v>3</v>
      </c>
      <c r="E8" s="10">
        <v>3000</v>
      </c>
      <c r="F8" s="7"/>
    </row>
    <row r="9" spans="1:6" s="3" customFormat="1" x14ac:dyDescent="0.25">
      <c r="A9" s="6" t="s">
        <v>61</v>
      </c>
      <c r="B9" s="6" t="s">
        <v>668</v>
      </c>
      <c r="C9" s="412"/>
      <c r="D9" s="6">
        <v>2</v>
      </c>
      <c r="E9" s="10">
        <v>2100</v>
      </c>
      <c r="F9" s="7"/>
    </row>
    <row r="10" spans="1:6" s="3" customFormat="1" x14ac:dyDescent="0.25">
      <c r="A10" s="6" t="s">
        <v>61</v>
      </c>
      <c r="B10" s="9" t="s">
        <v>669</v>
      </c>
      <c r="C10" s="412"/>
      <c r="D10" s="6">
        <v>1</v>
      </c>
      <c r="E10" s="10">
        <v>2300</v>
      </c>
      <c r="F10" s="7"/>
    </row>
    <row r="11" spans="1:6" s="3" customFormat="1" x14ac:dyDescent="0.25">
      <c r="A11" s="6" t="s">
        <v>61</v>
      </c>
      <c r="B11" s="9" t="s">
        <v>670</v>
      </c>
      <c r="C11" s="412"/>
      <c r="D11" s="6">
        <v>1</v>
      </c>
      <c r="E11" s="10">
        <v>2300</v>
      </c>
      <c r="F11" s="7"/>
    </row>
    <row r="12" spans="1:6" s="3" customFormat="1" x14ac:dyDescent="0.25">
      <c r="A12" s="6" t="s">
        <v>60</v>
      </c>
      <c r="B12" s="9" t="s">
        <v>671</v>
      </c>
      <c r="C12" s="412"/>
      <c r="D12" s="6">
        <v>1</v>
      </c>
      <c r="E12" s="10">
        <v>1550</v>
      </c>
      <c r="F12" s="7"/>
    </row>
    <row r="13" spans="1:6" s="3" customFormat="1" x14ac:dyDescent="0.25">
      <c r="A13" s="6" t="s">
        <v>1179</v>
      </c>
      <c r="B13" s="6" t="s">
        <v>672</v>
      </c>
      <c r="C13" s="412"/>
      <c r="D13" s="6">
        <v>1</v>
      </c>
      <c r="E13" s="10">
        <v>400</v>
      </c>
      <c r="F13" s="7"/>
    </row>
    <row r="14" spans="1:6" s="3" customFormat="1" x14ac:dyDescent="0.25">
      <c r="A14" s="6" t="s">
        <v>61</v>
      </c>
      <c r="B14" s="6" t="s">
        <v>676</v>
      </c>
      <c r="C14" s="410">
        <v>41956</v>
      </c>
      <c r="D14" s="6">
        <v>1</v>
      </c>
      <c r="E14" s="10">
        <v>1800</v>
      </c>
      <c r="F14" s="7"/>
    </row>
    <row r="15" spans="1:6" s="3" customFormat="1" x14ac:dyDescent="0.25">
      <c r="A15" s="6" t="s">
        <v>61</v>
      </c>
      <c r="B15" s="6" t="s">
        <v>1149</v>
      </c>
      <c r="C15" s="410">
        <v>41985</v>
      </c>
      <c r="D15" s="6">
        <v>7</v>
      </c>
      <c r="E15" s="10">
        <v>10894</v>
      </c>
      <c r="F15" s="7"/>
    </row>
    <row r="16" spans="1:6" x14ac:dyDescent="0.25">
      <c r="A16" s="6" t="s">
        <v>60</v>
      </c>
      <c r="B16" s="9" t="s">
        <v>1181</v>
      </c>
      <c r="C16" s="410">
        <v>41996</v>
      </c>
      <c r="D16" s="9">
        <v>3</v>
      </c>
      <c r="E16" s="28">
        <v>3400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36"/>
  <sheetViews>
    <sheetView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1251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69" t="s">
        <v>1</v>
      </c>
      <c r="B4" s="56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167</v>
      </c>
      <c r="B5" s="530"/>
      <c r="C5" s="531">
        <v>7</v>
      </c>
      <c r="D5" s="542">
        <v>8900</v>
      </c>
      <c r="E5" s="535">
        <v>7</v>
      </c>
      <c r="F5" s="542">
        <v>10773</v>
      </c>
      <c r="G5" s="535">
        <f t="shared" ref="G5:H36" si="0">E5-C5</f>
        <v>0</v>
      </c>
      <c r="H5" s="542">
        <f t="shared" si="0"/>
        <v>1873</v>
      </c>
      <c r="I5" s="542"/>
      <c r="J5" s="542">
        <v>4000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1">SUM(K5:Y5)</f>
        <v>0</v>
      </c>
    </row>
    <row r="6" spans="1:26" ht="14.45" customHeight="1" x14ac:dyDescent="0.25">
      <c r="A6" s="533" t="s">
        <v>1364</v>
      </c>
      <c r="B6" s="530"/>
      <c r="C6" s="531">
        <v>4</v>
      </c>
      <c r="D6" s="542">
        <v>8570</v>
      </c>
      <c r="E6" s="535">
        <v>5</v>
      </c>
      <c r="F6" s="542">
        <v>8465</v>
      </c>
      <c r="G6" s="535">
        <f t="shared" si="0"/>
        <v>1</v>
      </c>
      <c r="H6" s="542">
        <f t="shared" si="0"/>
        <v>-105</v>
      </c>
      <c r="I6" s="542"/>
      <c r="J6" s="542">
        <v>3386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3" t="s">
        <v>274</v>
      </c>
      <c r="B7" s="530"/>
      <c r="C7" s="531">
        <v>7</v>
      </c>
      <c r="D7" s="542">
        <v>13133</v>
      </c>
      <c r="E7" s="535">
        <v>7</v>
      </c>
      <c r="F7" s="542">
        <v>11851</v>
      </c>
      <c r="G7" s="535">
        <f t="shared" si="0"/>
        <v>0</v>
      </c>
      <c r="H7" s="542">
        <f t="shared" si="0"/>
        <v>-1282</v>
      </c>
      <c r="I7" s="542"/>
      <c r="J7" s="542">
        <v>4120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1" t="s">
        <v>1253</v>
      </c>
      <c r="B8" s="530"/>
      <c r="C8" s="531">
        <v>8</v>
      </c>
      <c r="D8" s="542">
        <v>9100</v>
      </c>
      <c r="E8" s="535">
        <v>8</v>
      </c>
      <c r="F8" s="542">
        <v>8363</v>
      </c>
      <c r="G8" s="535">
        <f t="shared" si="0"/>
        <v>0</v>
      </c>
      <c r="H8" s="542">
        <f t="shared" si="0"/>
        <v>-737</v>
      </c>
      <c r="I8" s="542"/>
      <c r="J8" s="542">
        <v>3345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1" t="s">
        <v>21</v>
      </c>
      <c r="B9" s="530"/>
      <c r="C9" s="531">
        <v>9</v>
      </c>
      <c r="D9" s="542">
        <v>11615.400000000001</v>
      </c>
      <c r="E9" s="535">
        <v>9</v>
      </c>
      <c r="F9" s="542">
        <v>11963</v>
      </c>
      <c r="G9" s="535">
        <f t="shared" si="0"/>
        <v>0</v>
      </c>
      <c r="H9" s="542">
        <f t="shared" si="0"/>
        <v>347.59999999999854</v>
      </c>
      <c r="I9" s="542"/>
      <c r="J9" s="542">
        <v>4000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1" t="s">
        <v>1288</v>
      </c>
      <c r="B10" s="530"/>
      <c r="C10" s="531">
        <v>8</v>
      </c>
      <c r="D10" s="542">
        <v>15125.400000000001</v>
      </c>
      <c r="E10" s="535">
        <v>8</v>
      </c>
      <c r="F10" s="542">
        <v>15064</v>
      </c>
      <c r="G10" s="535">
        <f t="shared" si="0"/>
        <v>0</v>
      </c>
      <c r="H10" s="542">
        <f t="shared" si="0"/>
        <v>-61.400000000001455</v>
      </c>
      <c r="I10" s="542"/>
      <c r="J10" s="542">
        <v>4000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1" t="s">
        <v>1287</v>
      </c>
      <c r="B11" s="530"/>
      <c r="C11" s="531">
        <v>8</v>
      </c>
      <c r="D11" s="542">
        <v>8711.2999999999993</v>
      </c>
      <c r="E11" s="535">
        <v>8</v>
      </c>
      <c r="F11" s="542">
        <v>9388</v>
      </c>
      <c r="G11" s="535">
        <f t="shared" si="0"/>
        <v>0</v>
      </c>
      <c r="H11" s="542">
        <f t="shared" si="0"/>
        <v>676.70000000000073</v>
      </c>
      <c r="I11" s="542"/>
      <c r="J11" s="542">
        <v>3755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1" t="s">
        <v>1286</v>
      </c>
      <c r="B12" s="530"/>
      <c r="C12" s="531">
        <v>8</v>
      </c>
      <c r="D12" s="542">
        <v>10115.299999999999</v>
      </c>
      <c r="E12" s="535">
        <v>8</v>
      </c>
      <c r="F12" s="542">
        <v>8557</v>
      </c>
      <c r="G12" s="535">
        <f t="shared" si="0"/>
        <v>0</v>
      </c>
      <c r="H12" s="542">
        <f t="shared" si="0"/>
        <v>-1558.2999999999993</v>
      </c>
      <c r="I12" s="542"/>
      <c r="J12" s="542">
        <v>3423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1" t="s">
        <v>1678</v>
      </c>
      <c r="B13" s="530"/>
      <c r="C13" s="531">
        <v>3</v>
      </c>
      <c r="D13" s="542">
        <v>5453</v>
      </c>
      <c r="E13" s="535">
        <v>4</v>
      </c>
      <c r="F13" s="542">
        <v>5616</v>
      </c>
      <c r="G13" s="535">
        <f t="shared" si="0"/>
        <v>1</v>
      </c>
      <c r="H13" s="542">
        <f t="shared" si="0"/>
        <v>163</v>
      </c>
      <c r="I13" s="542"/>
      <c r="J13" s="542">
        <v>2246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1" t="s">
        <v>215</v>
      </c>
      <c r="B14" s="530"/>
      <c r="C14" s="531">
        <v>6</v>
      </c>
      <c r="D14" s="542">
        <v>13831</v>
      </c>
      <c r="E14" s="535">
        <v>7</v>
      </c>
      <c r="F14" s="542">
        <v>14246</v>
      </c>
      <c r="G14" s="535">
        <f t="shared" si="0"/>
        <v>1</v>
      </c>
      <c r="H14" s="542">
        <f t="shared" si="0"/>
        <v>415</v>
      </c>
      <c r="I14" s="542"/>
      <c r="J14" s="542">
        <v>4000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4" t="s">
        <v>284</v>
      </c>
      <c r="B15" s="530"/>
      <c r="C15" s="531">
        <v>5</v>
      </c>
      <c r="D15" s="542">
        <v>6572</v>
      </c>
      <c r="E15" s="535">
        <v>5</v>
      </c>
      <c r="F15" s="542">
        <v>6772</v>
      </c>
      <c r="G15" s="535">
        <f t="shared" si="0"/>
        <v>0</v>
      </c>
      <c r="H15" s="542">
        <f t="shared" si="0"/>
        <v>200</v>
      </c>
      <c r="I15" s="542"/>
      <c r="J15" s="542">
        <v>2709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3" t="s">
        <v>314</v>
      </c>
      <c r="B16" s="530"/>
      <c r="C16" s="531">
        <v>9</v>
      </c>
      <c r="D16" s="542">
        <v>11014.400000000001</v>
      </c>
      <c r="E16" s="535">
        <v>9</v>
      </c>
      <c r="F16" s="542">
        <v>10414</v>
      </c>
      <c r="G16" s="535">
        <f t="shared" si="0"/>
        <v>0</v>
      </c>
      <c r="H16" s="542">
        <f t="shared" si="0"/>
        <v>-600.40000000000146</v>
      </c>
      <c r="I16" s="542"/>
      <c r="J16" s="542">
        <v>4000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0" t="s">
        <v>221</v>
      </c>
      <c r="B17" s="530"/>
      <c r="C17" s="531">
        <v>8</v>
      </c>
      <c r="D17" s="542">
        <v>11619</v>
      </c>
      <c r="E17" s="535">
        <v>8</v>
      </c>
      <c r="F17" s="542">
        <v>10520</v>
      </c>
      <c r="G17" s="535">
        <f t="shared" si="0"/>
        <v>0</v>
      </c>
      <c r="H17" s="542">
        <f t="shared" si="0"/>
        <v>-1099</v>
      </c>
      <c r="I17" s="542"/>
      <c r="J17" s="542">
        <v>4000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0" t="s">
        <v>18</v>
      </c>
      <c r="B18" s="530"/>
      <c r="C18" s="531">
        <v>6</v>
      </c>
      <c r="D18" s="542">
        <v>11438</v>
      </c>
      <c r="E18" s="535">
        <v>7</v>
      </c>
      <c r="F18" s="542">
        <v>12866</v>
      </c>
      <c r="G18" s="535">
        <f t="shared" si="0"/>
        <v>1</v>
      </c>
      <c r="H18" s="542">
        <f t="shared" si="0"/>
        <v>1428</v>
      </c>
      <c r="I18" s="542"/>
      <c r="J18" s="542">
        <v>4120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1" t="s">
        <v>19</v>
      </c>
      <c r="B19" s="531"/>
      <c r="C19" s="531">
        <v>7</v>
      </c>
      <c r="D19" s="542">
        <v>11619</v>
      </c>
      <c r="E19" s="535">
        <v>8</v>
      </c>
      <c r="F19" s="542">
        <v>12190</v>
      </c>
      <c r="G19" s="535">
        <f t="shared" si="0"/>
        <v>1</v>
      </c>
      <c r="H19" s="542">
        <f t="shared" si="0"/>
        <v>571</v>
      </c>
      <c r="I19" s="542"/>
      <c r="J19" s="542">
        <v>4120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31" t="s">
        <v>20</v>
      </c>
      <c r="B20" s="530"/>
      <c r="C20" s="531">
        <v>5</v>
      </c>
      <c r="D20" s="542">
        <v>8904</v>
      </c>
      <c r="E20" s="535">
        <v>6</v>
      </c>
      <c r="F20" s="542">
        <v>9142</v>
      </c>
      <c r="G20" s="535">
        <f t="shared" si="0"/>
        <v>1</v>
      </c>
      <c r="H20" s="542">
        <f t="shared" si="0"/>
        <v>238</v>
      </c>
      <c r="I20" s="542"/>
      <c r="J20" s="542">
        <v>3656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0" t="s">
        <v>1259</v>
      </c>
      <c r="B21" s="530"/>
      <c r="C21" s="531">
        <v>6</v>
      </c>
      <c r="D21" s="542">
        <v>9858</v>
      </c>
      <c r="E21" s="535">
        <v>6</v>
      </c>
      <c r="F21" s="542">
        <v>10158</v>
      </c>
      <c r="G21" s="535">
        <f t="shared" si="0"/>
        <v>0</v>
      </c>
      <c r="H21" s="542">
        <f t="shared" si="0"/>
        <v>300</v>
      </c>
      <c r="I21" s="542"/>
      <c r="J21" s="542">
        <v>4063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0" t="s">
        <v>176</v>
      </c>
      <c r="B22" s="530"/>
      <c r="C22" s="531">
        <v>2</v>
      </c>
      <c r="D22" s="542">
        <v>3286</v>
      </c>
      <c r="E22" s="535">
        <v>2</v>
      </c>
      <c r="F22" s="542">
        <v>3386</v>
      </c>
      <c r="G22" s="535">
        <f t="shared" si="0"/>
        <v>0</v>
      </c>
      <c r="H22" s="542">
        <f t="shared" si="0"/>
        <v>100</v>
      </c>
      <c r="I22" s="542"/>
      <c r="J22" s="542">
        <v>1354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530" t="s">
        <v>1537</v>
      </c>
      <c r="B23" s="530"/>
      <c r="C23" s="531">
        <v>7</v>
      </c>
      <c r="D23" s="542">
        <v>11165</v>
      </c>
      <c r="E23" s="535">
        <v>7</v>
      </c>
      <c r="F23" s="542">
        <v>11501</v>
      </c>
      <c r="G23" s="535">
        <f t="shared" si="0"/>
        <v>0</v>
      </c>
      <c r="H23" s="542">
        <f t="shared" si="0"/>
        <v>336</v>
      </c>
      <c r="I23" s="542"/>
      <c r="J23" s="542">
        <v>4600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530" t="s">
        <v>203</v>
      </c>
      <c r="B24" s="530"/>
      <c r="C24" s="531">
        <v>11</v>
      </c>
      <c r="D24" s="542">
        <v>19129.5</v>
      </c>
      <c r="E24" s="535">
        <v>11</v>
      </c>
      <c r="F24" s="542">
        <v>18623</v>
      </c>
      <c r="G24" s="535">
        <f t="shared" si="0"/>
        <v>0</v>
      </c>
      <c r="H24" s="542">
        <f t="shared" si="0"/>
        <v>-506.5</v>
      </c>
      <c r="I24" s="542"/>
      <c r="J24" s="542">
        <v>4120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530" t="s">
        <v>1272</v>
      </c>
      <c r="B25" s="530"/>
      <c r="C25" s="530">
        <v>1</v>
      </c>
      <c r="D25" s="542">
        <v>1595</v>
      </c>
      <c r="E25" s="535">
        <v>1</v>
      </c>
      <c r="F25" s="542">
        <v>1643</v>
      </c>
      <c r="G25" s="535">
        <f t="shared" si="0"/>
        <v>0</v>
      </c>
      <c r="H25" s="542">
        <f t="shared" si="0"/>
        <v>48</v>
      </c>
      <c r="I25" s="542"/>
      <c r="J25" s="542">
        <v>657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530" t="s">
        <v>1531</v>
      </c>
      <c r="B26" s="530"/>
      <c r="C26" s="531">
        <v>3</v>
      </c>
      <c r="D26" s="542">
        <v>4650</v>
      </c>
      <c r="E26" s="535">
        <v>3</v>
      </c>
      <c r="F26" s="542">
        <v>4650</v>
      </c>
      <c r="G26" s="535">
        <f t="shared" si="0"/>
        <v>0</v>
      </c>
      <c r="H26" s="542">
        <f t="shared" si="0"/>
        <v>0</v>
      </c>
      <c r="I26" s="542"/>
      <c r="J26" s="542">
        <v>0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customHeight="1" x14ac:dyDescent="0.25">
      <c r="A27" s="531"/>
      <c r="B27" s="530"/>
      <c r="C27" s="531"/>
      <c r="D27" s="542"/>
      <c r="E27" s="535"/>
      <c r="F27" s="542"/>
      <c r="G27" s="535">
        <f t="shared" si="0"/>
        <v>0</v>
      </c>
      <c r="H27" s="542">
        <f t="shared" si="0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customHeight="1" x14ac:dyDescent="0.25">
      <c r="A28" s="536"/>
      <c r="B28" s="530"/>
      <c r="C28" s="531"/>
      <c r="D28" s="542"/>
      <c r="E28" s="535"/>
      <c r="F28" s="542"/>
      <c r="G28" s="535">
        <f t="shared" si="0"/>
        <v>0</v>
      </c>
      <c r="H28" s="542">
        <f t="shared" si="0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customHeight="1" x14ac:dyDescent="0.25">
      <c r="A29" s="531"/>
      <c r="B29" s="530"/>
      <c r="C29" s="531"/>
      <c r="D29" s="542"/>
      <c r="E29" s="535"/>
      <c r="F29" s="542"/>
      <c r="G29" s="535">
        <f t="shared" si="0"/>
        <v>0</v>
      </c>
      <c r="H29" s="542">
        <f t="shared" si="0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customHeight="1" x14ac:dyDescent="0.25">
      <c r="A30" s="531"/>
      <c r="B30" s="530"/>
      <c r="C30" s="531"/>
      <c r="D30" s="542"/>
      <c r="E30" s="535"/>
      <c r="F30" s="542"/>
      <c r="G30" s="535">
        <f t="shared" si="0"/>
        <v>0</v>
      </c>
      <c r="H30" s="542">
        <f t="shared" si="0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customHeight="1" x14ac:dyDescent="0.25">
      <c r="A31" s="531"/>
      <c r="B31" s="530"/>
      <c r="C31" s="531"/>
      <c r="D31" s="542"/>
      <c r="E31" s="535"/>
      <c r="F31" s="542"/>
      <c r="G31" s="535">
        <f t="shared" si="0"/>
        <v>0</v>
      </c>
      <c r="H31" s="542">
        <f t="shared" si="0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customHeight="1" x14ac:dyDescent="0.25">
      <c r="A32" s="531"/>
      <c r="B32" s="530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customHeight="1" x14ac:dyDescent="0.25">
      <c r="A33" s="531"/>
      <c r="B33" s="530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531"/>
      <c r="B34" s="530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531"/>
      <c r="B35" s="530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customHeight="1" x14ac:dyDescent="0.25">
      <c r="A36" s="531"/>
      <c r="B36" s="530"/>
      <c r="C36" s="531"/>
      <c r="D36" s="542"/>
      <c r="E36" s="535"/>
      <c r="F36" s="542"/>
      <c r="G36" s="535">
        <f t="shared" si="0"/>
        <v>0</v>
      </c>
      <c r="H36" s="542">
        <f t="shared" si="0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1"/>
      <c r="B37" s="530"/>
      <c r="C37" s="531"/>
      <c r="D37" s="542"/>
      <c r="E37" s="535"/>
      <c r="F37" s="542"/>
      <c r="G37" s="535">
        <f t="shared" ref="G37:H68" si="2">E37-C37</f>
        <v>0</v>
      </c>
      <c r="H37" s="542">
        <f t="shared" si="2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>
        <f t="shared" si="2"/>
        <v>0</v>
      </c>
      <c r="H38" s="542">
        <f t="shared" si="2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>
        <f t="shared" si="2"/>
        <v>0</v>
      </c>
      <c r="H39" s="542">
        <f t="shared" si="2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>
        <f t="shared" si="2"/>
        <v>0</v>
      </c>
      <c r="H40" s="542">
        <f t="shared" si="2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>
        <f t="shared" si="2"/>
        <v>0</v>
      </c>
      <c r="H41" s="542">
        <f t="shared" si="2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4.45" hidden="1" customHeight="1" x14ac:dyDescent="0.25">
      <c r="A42" s="530"/>
      <c r="B42" s="530"/>
      <c r="C42" s="531"/>
      <c r="D42" s="542"/>
      <c r="E42" s="535"/>
      <c r="F42" s="542"/>
      <c r="G42" s="535">
        <f t="shared" si="2"/>
        <v>0</v>
      </c>
      <c r="H42" s="542">
        <f t="shared" si="2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2"/>
        <v>0</v>
      </c>
      <c r="H43" s="542">
        <f t="shared" si="2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1"/>
      <c r="D44" s="542"/>
      <c r="E44" s="535"/>
      <c r="F44" s="542"/>
      <c r="G44" s="535">
        <f t="shared" si="2"/>
        <v>0</v>
      </c>
      <c r="H44" s="542">
        <f t="shared" si="2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0"/>
      <c r="D45" s="542"/>
      <c r="E45" s="535"/>
      <c r="F45" s="542"/>
      <c r="G45" s="535">
        <f t="shared" si="2"/>
        <v>0</v>
      </c>
      <c r="H45" s="542">
        <f t="shared" si="2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2"/>
        <v>0</v>
      </c>
      <c r="H46" s="542">
        <f t="shared" si="2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2"/>
        <v>0</v>
      </c>
      <c r="H47" s="542">
        <f t="shared" si="2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0"/>
      <c r="B48" s="530"/>
      <c r="C48" s="531"/>
      <c r="D48" s="542"/>
      <c r="E48" s="535"/>
      <c r="F48" s="542"/>
      <c r="G48" s="535">
        <f t="shared" si="2"/>
        <v>0</v>
      </c>
      <c r="H48" s="542">
        <f t="shared" si="2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7"/>
      <c r="B49" s="530"/>
      <c r="C49" s="531"/>
      <c r="D49" s="542"/>
      <c r="E49" s="535"/>
      <c r="F49" s="542"/>
      <c r="G49" s="535">
        <f t="shared" si="2"/>
        <v>0</v>
      </c>
      <c r="H49" s="542">
        <f t="shared" si="2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1"/>
      <c r="B50" s="530"/>
      <c r="C50" s="531"/>
      <c r="D50" s="542"/>
      <c r="E50" s="535"/>
      <c r="F50" s="542"/>
      <c r="G50" s="535">
        <f t="shared" si="2"/>
        <v>0</v>
      </c>
      <c r="H50" s="542">
        <f t="shared" si="2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2"/>
        <v>0</v>
      </c>
      <c r="H51" s="542">
        <f t="shared" si="2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2"/>
        <v>0</v>
      </c>
      <c r="H52" s="542">
        <f t="shared" si="2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2"/>
        <v>0</v>
      </c>
      <c r="H53" s="542">
        <f t="shared" si="2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2"/>
        <v>0</v>
      </c>
      <c r="H54" s="542">
        <f t="shared" si="2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2"/>
        <v>0</v>
      </c>
      <c r="H55" s="542">
        <f t="shared" si="2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2"/>
        <v>0</v>
      </c>
      <c r="H56" s="542">
        <f t="shared" si="2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0"/>
      <c r="D57" s="542"/>
      <c r="E57" s="530"/>
      <c r="F57" s="542"/>
      <c r="G57" s="535">
        <f t="shared" si="2"/>
        <v>0</v>
      </c>
      <c r="H57" s="542">
        <f t="shared" si="2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2"/>
        <v>0</v>
      </c>
      <c r="H58" s="542">
        <f t="shared" si="2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2"/>
        <v>0</v>
      </c>
      <c r="H59" s="542">
        <f t="shared" si="2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1"/>
      <c r="F60" s="542"/>
      <c r="G60" s="535">
        <f t="shared" si="2"/>
        <v>0</v>
      </c>
      <c r="H60" s="542">
        <f t="shared" si="2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2"/>
        <v>0</v>
      </c>
      <c r="H61" s="542">
        <f t="shared" si="2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2"/>
        <v>0</v>
      </c>
      <c r="H62" s="542">
        <f t="shared" si="2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2"/>
        <v>0</v>
      </c>
      <c r="H63" s="542">
        <f t="shared" si="2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2"/>
        <v>0</v>
      </c>
      <c r="H64" s="542">
        <f t="shared" si="2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2"/>
        <v>0</v>
      </c>
      <c r="H65" s="542">
        <f t="shared" si="2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2"/>
        <v>0</v>
      </c>
      <c r="H66" s="542">
        <f t="shared" si="2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2"/>
        <v>0</v>
      </c>
      <c r="H67" s="542">
        <f t="shared" si="2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si="2"/>
        <v>0</v>
      </c>
      <c r="H68" s="542">
        <f t="shared" si="2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1"/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ref="G69:H83" si="3">E69-C69</f>
        <v>0</v>
      </c>
      <c r="H69" s="542">
        <f t="shared" si="3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4">SUM(K69:Y69)</f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3"/>
        <v>0</v>
      </c>
      <c r="H70" s="542">
        <f t="shared" si="3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3"/>
        <v>0</v>
      </c>
      <c r="H71" s="542">
        <f t="shared" si="3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hidden="1" customHeight="1" x14ac:dyDescent="0.25">
      <c r="A72" s="530"/>
      <c r="B72" s="530"/>
      <c r="C72" s="531"/>
      <c r="D72" s="542"/>
      <c r="E72" s="535"/>
      <c r="F72" s="542"/>
      <c r="G72" s="535">
        <f t="shared" si="3"/>
        <v>0</v>
      </c>
      <c r="H72" s="542">
        <f t="shared" si="3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hidden="1" customHeight="1" x14ac:dyDescent="0.25">
      <c r="A73" s="534"/>
      <c r="B73" s="530"/>
      <c r="C73" s="531"/>
      <c r="D73" s="542"/>
      <c r="E73" s="535"/>
      <c r="F73" s="542"/>
      <c r="G73" s="535">
        <f t="shared" si="3"/>
        <v>0</v>
      </c>
      <c r="H73" s="542">
        <f t="shared" si="3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hidden="1" customHeight="1" x14ac:dyDescent="0.25">
      <c r="A74" s="530"/>
      <c r="B74" s="530"/>
      <c r="C74" s="531"/>
      <c r="D74" s="542"/>
      <c r="E74" s="535"/>
      <c r="F74" s="542"/>
      <c r="G74" s="535">
        <f t="shared" si="3"/>
        <v>0</v>
      </c>
      <c r="H74" s="542">
        <f t="shared" si="3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hidden="1" customHeight="1" x14ac:dyDescent="0.25">
      <c r="A75" s="534"/>
      <c r="B75" s="530"/>
      <c r="C75" s="531"/>
      <c r="D75" s="542"/>
      <c r="E75" s="535"/>
      <c r="F75" s="542"/>
      <c r="G75" s="535">
        <f t="shared" si="3"/>
        <v>0</v>
      </c>
      <c r="H75" s="542">
        <f t="shared" si="3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hidden="1" customHeight="1" x14ac:dyDescent="0.25">
      <c r="A76" s="530"/>
      <c r="B76" s="530"/>
      <c r="C76" s="531"/>
      <c r="D76" s="542"/>
      <c r="E76" s="535"/>
      <c r="F76" s="542"/>
      <c r="G76" s="535">
        <f t="shared" si="3"/>
        <v>0</v>
      </c>
      <c r="H76" s="542">
        <f t="shared" si="3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hidden="1" customHeight="1" x14ac:dyDescent="0.25">
      <c r="A77" s="533"/>
      <c r="B77" s="530"/>
      <c r="C77" s="531"/>
      <c r="D77" s="542"/>
      <c r="E77" s="535"/>
      <c r="F77" s="542"/>
      <c r="G77" s="535">
        <f t="shared" si="3"/>
        <v>0</v>
      </c>
      <c r="H77" s="542">
        <f t="shared" si="3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4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3"/>
        <v>0</v>
      </c>
      <c r="H78" s="542">
        <f t="shared" si="3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4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3"/>
        <v>0</v>
      </c>
      <c r="H79" s="542">
        <f t="shared" si="3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4"/>
        <v>0</v>
      </c>
    </row>
    <row r="80" spans="1:26" ht="15" hidden="1" customHeight="1" x14ac:dyDescent="0.25">
      <c r="A80" s="530"/>
      <c r="B80" s="530"/>
      <c r="C80" s="531"/>
      <c r="D80" s="542"/>
      <c r="E80" s="535"/>
      <c r="F80" s="542"/>
      <c r="G80" s="535">
        <f t="shared" si="3"/>
        <v>0</v>
      </c>
      <c r="H80" s="542">
        <f t="shared" si="3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4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3"/>
        <v>0</v>
      </c>
      <c r="H81" s="542">
        <f t="shared" si="3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4"/>
        <v>0</v>
      </c>
    </row>
    <row r="82" spans="1:26" ht="15" hidden="1" customHeight="1" x14ac:dyDescent="0.25">
      <c r="A82" s="530"/>
      <c r="B82" s="530"/>
      <c r="C82" s="530"/>
      <c r="D82" s="542"/>
      <c r="E82" s="535"/>
      <c r="F82" s="542"/>
      <c r="G82" s="535">
        <f t="shared" si="3"/>
        <v>0</v>
      </c>
      <c r="H82" s="542">
        <f t="shared" si="3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4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3"/>
        <v>0</v>
      </c>
      <c r="H83" s="542">
        <f t="shared" si="3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4"/>
        <v>0</v>
      </c>
    </row>
    <row r="84" spans="1:26" ht="15" customHeight="1" x14ac:dyDescent="0.25">
      <c r="A84" s="443" t="s">
        <v>1221</v>
      </c>
      <c r="B84" s="444"/>
      <c r="C84" s="447">
        <f t="shared" ref="C84:Z84" si="5">SUM(C5:C83)</f>
        <v>138</v>
      </c>
      <c r="D84" s="466">
        <f t="shared" si="5"/>
        <v>215404.30000000002</v>
      </c>
      <c r="E84" s="447">
        <f t="shared" si="5"/>
        <v>144</v>
      </c>
      <c r="F84" s="466">
        <f t="shared" si="5"/>
        <v>216151</v>
      </c>
      <c r="G84" s="447">
        <f t="shared" si="5"/>
        <v>6</v>
      </c>
      <c r="H84" s="466">
        <f>SUM(H5:H83)</f>
        <v>746.69999999999709</v>
      </c>
      <c r="I84" s="448">
        <f t="shared" si="5"/>
        <v>0</v>
      </c>
      <c r="J84" s="447">
        <f t="shared" si="5"/>
        <v>73674</v>
      </c>
      <c r="K84" s="448">
        <f t="shared" si="5"/>
        <v>0</v>
      </c>
      <c r="L84" s="447">
        <f t="shared" si="5"/>
        <v>0</v>
      </c>
      <c r="M84" s="447">
        <f t="shared" si="5"/>
        <v>0</v>
      </c>
      <c r="N84" s="447">
        <f t="shared" si="5"/>
        <v>0</v>
      </c>
      <c r="O84" s="447">
        <f t="shared" si="5"/>
        <v>0</v>
      </c>
      <c r="P84" s="447">
        <f t="shared" si="5"/>
        <v>0</v>
      </c>
      <c r="Q84" s="447">
        <f t="shared" si="5"/>
        <v>0</v>
      </c>
      <c r="R84" s="447">
        <f t="shared" si="5"/>
        <v>0</v>
      </c>
      <c r="S84" s="447">
        <f t="shared" si="5"/>
        <v>0</v>
      </c>
      <c r="T84" s="447">
        <f t="shared" si="5"/>
        <v>0</v>
      </c>
      <c r="U84" s="447">
        <f t="shared" si="5"/>
        <v>0</v>
      </c>
      <c r="V84" s="447">
        <f t="shared" si="5"/>
        <v>0</v>
      </c>
      <c r="W84" s="447">
        <f t="shared" si="5"/>
        <v>0</v>
      </c>
      <c r="X84" s="447">
        <f t="shared" si="5"/>
        <v>0</v>
      </c>
      <c r="Y84" s="447">
        <f t="shared" si="5"/>
        <v>0</v>
      </c>
      <c r="Z84" s="447">
        <f t="shared" si="5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ht="15" customHeight="1" x14ac:dyDescent="0.25">
      <c r="A88" s="565" t="s">
        <v>1696</v>
      </c>
      <c r="B88" s="496" t="s">
        <v>1620</v>
      </c>
      <c r="C88" s="497">
        <v>42747</v>
      </c>
      <c r="D88" s="498">
        <v>42780</v>
      </c>
      <c r="E88" s="499">
        <v>32</v>
      </c>
      <c r="F88" s="498">
        <v>42795</v>
      </c>
      <c r="G88" s="499">
        <v>4</v>
      </c>
      <c r="H88" s="554">
        <v>6572</v>
      </c>
      <c r="I88" s="554">
        <v>5000</v>
      </c>
      <c r="J88" s="554">
        <v>2629</v>
      </c>
      <c r="K88" s="496"/>
      <c r="L88" s="496"/>
      <c r="M88" s="496"/>
      <c r="N88" s="496"/>
      <c r="O88" s="496">
        <v>1</v>
      </c>
      <c r="P88" s="496"/>
      <c r="Q88" s="496">
        <v>1</v>
      </c>
      <c r="R88" s="496"/>
      <c r="S88" s="496"/>
      <c r="T88" s="496">
        <v>1</v>
      </c>
      <c r="U88" s="496">
        <v>1</v>
      </c>
      <c r="V88" s="496"/>
      <c r="W88" s="496"/>
      <c r="X88" s="496"/>
      <c r="Y88" s="496"/>
      <c r="Z88" s="496">
        <f t="shared" ref="Z88:Z90" si="6">SUM(K88:Y88)</f>
        <v>4</v>
      </c>
    </row>
    <row r="89" spans="1:26" ht="15" customHeight="1" x14ac:dyDescent="0.25">
      <c r="A89" s="565" t="s">
        <v>1731</v>
      </c>
      <c r="B89" s="535" t="s">
        <v>115</v>
      </c>
      <c r="C89" s="487">
        <v>43042</v>
      </c>
      <c r="D89" s="488">
        <v>42795</v>
      </c>
      <c r="E89" s="486">
        <v>118</v>
      </c>
      <c r="F89" s="488">
        <v>42795</v>
      </c>
      <c r="G89" s="486">
        <v>6</v>
      </c>
      <c r="H89" s="539">
        <f>4683+4650</f>
        <v>9333</v>
      </c>
      <c r="I89" s="539">
        <v>4200</v>
      </c>
      <c r="J89" s="539">
        <v>1873</v>
      </c>
      <c r="K89" s="535">
        <v>1</v>
      </c>
      <c r="L89" s="535"/>
      <c r="M89" s="535"/>
      <c r="N89" s="535">
        <v>1</v>
      </c>
      <c r="O89" s="535"/>
      <c r="P89" s="535">
        <v>1</v>
      </c>
      <c r="Q89" s="535"/>
      <c r="R89" s="535"/>
      <c r="S89" s="535"/>
      <c r="T89" s="535"/>
      <c r="U89" s="535"/>
      <c r="V89" s="535"/>
      <c r="W89" s="535">
        <v>1</v>
      </c>
      <c r="X89" s="535">
        <v>1</v>
      </c>
      <c r="Y89" s="535">
        <v>1</v>
      </c>
      <c r="Z89" s="496">
        <f t="shared" si="6"/>
        <v>6</v>
      </c>
    </row>
    <row r="90" spans="1:26" ht="29.45" customHeight="1" x14ac:dyDescent="0.25">
      <c r="A90" s="565" t="s">
        <v>1732</v>
      </c>
      <c r="B90" s="535" t="s">
        <v>115</v>
      </c>
      <c r="C90" s="487">
        <v>43042</v>
      </c>
      <c r="D90" s="488">
        <v>42795</v>
      </c>
      <c r="E90" s="486">
        <v>118</v>
      </c>
      <c r="F90" s="488">
        <v>42795</v>
      </c>
      <c r="G90" s="486">
        <v>3</v>
      </c>
      <c r="H90" s="539">
        <v>4683</v>
      </c>
      <c r="I90" s="539">
        <v>4200</v>
      </c>
      <c r="J90" s="539">
        <v>1873</v>
      </c>
      <c r="K90" s="535">
        <v>1</v>
      </c>
      <c r="L90" s="535"/>
      <c r="M90" s="535"/>
      <c r="N90" s="535">
        <v>1</v>
      </c>
      <c r="O90" s="535"/>
      <c r="P90" s="535">
        <v>1</v>
      </c>
      <c r="Q90" s="535"/>
      <c r="R90" s="535"/>
      <c r="S90" s="535"/>
      <c r="T90" s="535"/>
      <c r="U90" s="535"/>
      <c r="V90" s="535"/>
      <c r="W90" s="535"/>
      <c r="X90" s="535"/>
      <c r="Y90" s="535"/>
      <c r="Z90" s="496">
        <f t="shared" si="6"/>
        <v>3</v>
      </c>
    </row>
    <row r="91" spans="1:26" ht="15" customHeight="1" x14ac:dyDescent="0.25">
      <c r="A91" s="565" t="s">
        <v>1735</v>
      </c>
      <c r="B91" s="535" t="s">
        <v>115</v>
      </c>
      <c r="C91" s="487">
        <v>42768</v>
      </c>
      <c r="D91" s="488">
        <v>42829</v>
      </c>
      <c r="E91" s="486">
        <v>62</v>
      </c>
      <c r="F91" s="488">
        <v>42821</v>
      </c>
      <c r="G91" s="486">
        <v>1</v>
      </c>
      <c r="H91" s="539">
        <v>1693</v>
      </c>
      <c r="I91" s="539">
        <v>2500</v>
      </c>
      <c r="J91" s="539">
        <v>677</v>
      </c>
      <c r="K91" s="535"/>
      <c r="L91" s="535"/>
      <c r="M91" s="535"/>
      <c r="N91" s="535"/>
      <c r="O91" s="535"/>
      <c r="P91" s="535"/>
      <c r="Q91" s="535">
        <v>1</v>
      </c>
      <c r="R91" s="535"/>
      <c r="S91" s="535"/>
      <c r="T91" s="535"/>
      <c r="U91" s="535"/>
      <c r="V91" s="535"/>
      <c r="W91" s="535"/>
      <c r="X91" s="535"/>
      <c r="Y91" s="535"/>
      <c r="Z91" s="496">
        <f t="shared" ref="Z91:Z94" si="7">SUM(K91:Y91)</f>
        <v>1</v>
      </c>
    </row>
    <row r="92" spans="1:26" ht="15" customHeight="1" x14ac:dyDescent="0.25">
      <c r="A92" s="565" t="s">
        <v>1737</v>
      </c>
      <c r="B92" s="535" t="s">
        <v>115</v>
      </c>
      <c r="C92" s="487">
        <v>42754</v>
      </c>
      <c r="D92" s="488">
        <v>42831</v>
      </c>
      <c r="E92" s="486">
        <v>76</v>
      </c>
      <c r="F92" s="488">
        <v>42821</v>
      </c>
      <c r="G92" s="486">
        <v>3</v>
      </c>
      <c r="H92" s="539">
        <v>4650</v>
      </c>
      <c r="I92" s="539">
        <v>2500</v>
      </c>
      <c r="J92" s="539">
        <v>0</v>
      </c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>
        <v>1</v>
      </c>
      <c r="X92" s="535">
        <v>1</v>
      </c>
      <c r="Y92" s="535">
        <v>1</v>
      </c>
      <c r="Z92" s="496">
        <f t="shared" si="7"/>
        <v>3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456"/>
      <c r="J93" s="456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7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7"/>
        <v>0</v>
      </c>
    </row>
    <row r="95" spans="1:26" ht="15" customHeight="1" x14ac:dyDescent="0.25">
      <c r="A95" s="443" t="s">
        <v>1226</v>
      </c>
      <c r="B95" s="444"/>
      <c r="C95" s="445"/>
      <c r="D95" s="446"/>
      <c r="E95" s="447"/>
      <c r="F95" s="446"/>
      <c r="G95" s="447">
        <f>SUM(G93:G94)</f>
        <v>0</v>
      </c>
      <c r="H95" s="448">
        <f>SUM(H88:H94)</f>
        <v>26931</v>
      </c>
      <c r="I95" s="448">
        <f t="shared" ref="I95:Z95" si="8">SUM(I88:I94)</f>
        <v>18400</v>
      </c>
      <c r="J95" s="448">
        <f t="shared" si="8"/>
        <v>7052</v>
      </c>
      <c r="K95" s="447">
        <f t="shared" si="8"/>
        <v>2</v>
      </c>
      <c r="L95" s="447">
        <f t="shared" si="8"/>
        <v>0</v>
      </c>
      <c r="M95" s="447">
        <f t="shared" si="8"/>
        <v>0</v>
      </c>
      <c r="N95" s="447">
        <f t="shared" si="8"/>
        <v>2</v>
      </c>
      <c r="O95" s="447">
        <f t="shared" si="8"/>
        <v>1</v>
      </c>
      <c r="P95" s="447">
        <f t="shared" si="8"/>
        <v>2</v>
      </c>
      <c r="Q95" s="447">
        <f t="shared" si="8"/>
        <v>2</v>
      </c>
      <c r="R95" s="447">
        <f t="shared" si="8"/>
        <v>0</v>
      </c>
      <c r="S95" s="447">
        <f t="shared" si="8"/>
        <v>0</v>
      </c>
      <c r="T95" s="447">
        <f t="shared" si="8"/>
        <v>1</v>
      </c>
      <c r="U95" s="447">
        <f t="shared" si="8"/>
        <v>1</v>
      </c>
      <c r="V95" s="447">
        <f t="shared" si="8"/>
        <v>0</v>
      </c>
      <c r="W95" s="447">
        <f t="shared" si="8"/>
        <v>2</v>
      </c>
      <c r="X95" s="447">
        <f t="shared" si="8"/>
        <v>2</v>
      </c>
      <c r="Y95" s="447">
        <f t="shared" si="8"/>
        <v>2</v>
      </c>
      <c r="Z95" s="447">
        <f t="shared" si="8"/>
        <v>17</v>
      </c>
    </row>
    <row r="96" spans="1:26" ht="15" customHeight="1" x14ac:dyDescent="0.25">
      <c r="A96" s="428"/>
      <c r="B96" s="422"/>
      <c r="C96" s="422"/>
      <c r="D96" s="429"/>
      <c r="E96" s="422"/>
      <c r="F96" s="429"/>
      <c r="G96" s="433"/>
      <c r="H96" s="422"/>
      <c r="I96" s="422"/>
      <c r="J96" s="422"/>
    </row>
    <row r="97" spans="1:26" x14ac:dyDescent="0.25">
      <c r="A97" s="739" t="s">
        <v>1228</v>
      </c>
      <c r="B97" s="739"/>
      <c r="G97" s="420"/>
    </row>
    <row r="98" spans="1:26" ht="30" x14ac:dyDescent="0.25">
      <c r="A98" s="569" t="s">
        <v>1</v>
      </c>
      <c r="B98" s="569" t="s">
        <v>59</v>
      </c>
      <c r="C98" s="425" t="s">
        <v>1222</v>
      </c>
      <c r="D98" s="425" t="s">
        <v>1223</v>
      </c>
      <c r="E98" s="425" t="s">
        <v>392</v>
      </c>
      <c r="F98" s="426" t="s">
        <v>2</v>
      </c>
      <c r="G98" s="432" t="s">
        <v>1225</v>
      </c>
      <c r="H98" s="427" t="s">
        <v>1224</v>
      </c>
      <c r="I98" s="427" t="s">
        <v>1498</v>
      </c>
      <c r="J98" s="427" t="s">
        <v>94</v>
      </c>
      <c r="K98" s="424" t="s">
        <v>681</v>
      </c>
      <c r="L98" s="424" t="s">
        <v>1496</v>
      </c>
      <c r="M98" s="424" t="s">
        <v>1497</v>
      </c>
      <c r="N98" s="424" t="s">
        <v>682</v>
      </c>
      <c r="O98" s="424" t="s">
        <v>683</v>
      </c>
      <c r="P98" s="424" t="s">
        <v>87</v>
      </c>
      <c r="Q98" s="424" t="s">
        <v>684</v>
      </c>
      <c r="R98" s="424" t="s">
        <v>685</v>
      </c>
      <c r="S98" s="424" t="s">
        <v>690</v>
      </c>
      <c r="T98" s="424" t="s">
        <v>686</v>
      </c>
      <c r="U98" s="424" t="s">
        <v>687</v>
      </c>
      <c r="V98" s="424" t="s">
        <v>688</v>
      </c>
      <c r="W98" s="424" t="s">
        <v>689</v>
      </c>
      <c r="X98" s="424" t="s">
        <v>138</v>
      </c>
      <c r="Y98" s="424" t="s">
        <v>1385</v>
      </c>
      <c r="Z98" s="424" t="s">
        <v>1238</v>
      </c>
    </row>
    <row r="99" spans="1:26" ht="15" customHeight="1" x14ac:dyDescent="0.25">
      <c r="A99" s="565" t="s">
        <v>1734</v>
      </c>
      <c r="B99" s="535" t="s">
        <v>115</v>
      </c>
      <c r="C99" s="487">
        <v>42800</v>
      </c>
      <c r="D99" s="488">
        <v>42802</v>
      </c>
      <c r="E99" s="486">
        <v>2</v>
      </c>
      <c r="F99" s="488">
        <v>42795</v>
      </c>
      <c r="G99" s="486">
        <v>1</v>
      </c>
      <c r="H99" s="539">
        <v>1447</v>
      </c>
      <c r="I99" s="539">
        <v>0</v>
      </c>
      <c r="J99" s="539">
        <v>579</v>
      </c>
      <c r="K99" s="535"/>
      <c r="L99" s="535"/>
      <c r="M99" s="535"/>
      <c r="N99" s="535"/>
      <c r="O99" s="535"/>
      <c r="P99" s="535">
        <v>1</v>
      </c>
      <c r="Q99" s="535"/>
      <c r="R99" s="535"/>
      <c r="S99" s="535"/>
      <c r="T99" s="535"/>
      <c r="U99" s="535"/>
      <c r="V99" s="535"/>
      <c r="W99" s="535"/>
      <c r="X99" s="535"/>
      <c r="Y99" s="535"/>
      <c r="Z99" s="535">
        <f>SUM(K99:Y99)</f>
        <v>1</v>
      </c>
    </row>
    <row r="100" spans="1:26" s="457" customFormat="1" ht="15" customHeight="1" x14ac:dyDescent="0.25">
      <c r="A100" s="565" t="s">
        <v>1664</v>
      </c>
      <c r="B100" s="535" t="s">
        <v>115</v>
      </c>
      <c r="C100" s="487">
        <v>42794</v>
      </c>
      <c r="D100" s="488">
        <v>42804</v>
      </c>
      <c r="E100" s="486">
        <v>12</v>
      </c>
      <c r="F100" s="488">
        <v>42795</v>
      </c>
      <c r="G100" s="486">
        <v>1</v>
      </c>
      <c r="H100" s="539">
        <v>1643</v>
      </c>
      <c r="I100" s="539">
        <v>0</v>
      </c>
      <c r="J100" s="539">
        <v>657</v>
      </c>
      <c r="K100" s="535">
        <v>1</v>
      </c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452"/>
      <c r="Z100" s="535">
        <f t="shared" ref="Z100" si="9">SUM(K100:Y100)</f>
        <v>1</v>
      </c>
    </row>
    <row r="101" spans="1:26" s="457" customFormat="1" ht="15" customHeight="1" x14ac:dyDescent="0.25">
      <c r="A101" s="538"/>
      <c r="B101" s="535"/>
      <c r="C101" s="487"/>
      <c r="D101" s="488"/>
      <c r="E101" s="486"/>
      <c r="F101" s="488"/>
      <c r="G101" s="486"/>
      <c r="H101" s="539"/>
      <c r="I101" s="539"/>
      <c r="J101" s="539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35"/>
      <c r="X101" s="535"/>
      <c r="Y101" s="452"/>
      <c r="Z101" s="535"/>
    </row>
    <row r="102" spans="1:26" s="457" customFormat="1" ht="15" customHeight="1" x14ac:dyDescent="0.25">
      <c r="A102" s="538"/>
      <c r="B102" s="535"/>
      <c r="C102" s="487"/>
      <c r="D102" s="488"/>
      <c r="E102" s="486"/>
      <c r="F102" s="488"/>
      <c r="G102" s="486"/>
      <c r="H102" s="539"/>
      <c r="I102" s="539"/>
      <c r="J102" s="539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452"/>
      <c r="Z102" s="535"/>
    </row>
    <row r="103" spans="1:26" s="457" customFormat="1" ht="15" customHeight="1" x14ac:dyDescent="0.25">
      <c r="A103" s="538"/>
      <c r="B103" s="535"/>
      <c r="C103" s="487"/>
      <c r="D103" s="488"/>
      <c r="E103" s="486"/>
      <c r="F103" s="488"/>
      <c r="G103" s="486"/>
      <c r="H103" s="539"/>
      <c r="I103" s="539"/>
      <c r="J103" s="539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452"/>
      <c r="Z103" s="535"/>
    </row>
    <row r="104" spans="1:26" s="457" customFormat="1" ht="15" customHeight="1" x14ac:dyDescent="0.25">
      <c r="A104" s="538"/>
      <c r="B104" s="535"/>
      <c r="C104" s="487"/>
      <c r="D104" s="488"/>
      <c r="E104" s="486"/>
      <c r="F104" s="488"/>
      <c r="G104" s="486"/>
      <c r="H104" s="539"/>
      <c r="I104" s="539"/>
      <c r="J104" s="539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452"/>
      <c r="Z104" s="535"/>
    </row>
    <row r="105" spans="1:26" s="457" customFormat="1" ht="15" customHeight="1" x14ac:dyDescent="0.25">
      <c r="A105" s="541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/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/>
    </row>
    <row r="107" spans="1:26" ht="15" customHeight="1" x14ac:dyDescent="0.25">
      <c r="A107" s="443" t="s">
        <v>450</v>
      </c>
      <c r="B107" s="444"/>
      <c r="C107" s="445"/>
      <c r="D107" s="446"/>
      <c r="E107" s="447"/>
      <c r="F107" s="446"/>
      <c r="G107" s="447">
        <f t="shared" ref="G107:Z107" si="10">SUM(G99:G106)</f>
        <v>2</v>
      </c>
      <c r="H107" s="448">
        <f>SUM(H99:H106)</f>
        <v>3090</v>
      </c>
      <c r="I107" s="448">
        <f>SUM(I99:I106)</f>
        <v>0</v>
      </c>
      <c r="J107" s="448">
        <f>SUM(J99:J106)</f>
        <v>1236</v>
      </c>
      <c r="K107" s="447">
        <f t="shared" si="10"/>
        <v>1</v>
      </c>
      <c r="L107" s="447">
        <f t="shared" si="10"/>
        <v>0</v>
      </c>
      <c r="M107" s="447">
        <f t="shared" si="10"/>
        <v>0</v>
      </c>
      <c r="N107" s="447">
        <f t="shared" si="10"/>
        <v>0</v>
      </c>
      <c r="O107" s="447">
        <f t="shared" si="10"/>
        <v>0</v>
      </c>
      <c r="P107" s="447">
        <f t="shared" si="10"/>
        <v>1</v>
      </c>
      <c r="Q107" s="447">
        <f t="shared" si="10"/>
        <v>0</v>
      </c>
      <c r="R107" s="447">
        <f t="shared" si="10"/>
        <v>0</v>
      </c>
      <c r="S107" s="447">
        <f t="shared" si="10"/>
        <v>0</v>
      </c>
      <c r="T107" s="447">
        <f t="shared" si="10"/>
        <v>0</v>
      </c>
      <c r="U107" s="447">
        <f t="shared" si="10"/>
        <v>0</v>
      </c>
      <c r="V107" s="447">
        <f t="shared" si="10"/>
        <v>0</v>
      </c>
      <c r="W107" s="447">
        <f t="shared" si="10"/>
        <v>0</v>
      </c>
      <c r="X107" s="447"/>
      <c r="Y107" s="447"/>
      <c r="Z107" s="447">
        <f t="shared" si="10"/>
        <v>2</v>
      </c>
    </row>
    <row r="109" spans="1:26" x14ac:dyDescent="0.25">
      <c r="A109" s="739" t="s">
        <v>1229</v>
      </c>
      <c r="B109" s="739"/>
    </row>
    <row r="110" spans="1:26" ht="30" x14ac:dyDescent="0.25">
      <c r="A110" s="569" t="s">
        <v>1</v>
      </c>
      <c r="B110" s="569" t="s">
        <v>59</v>
      </c>
      <c r="C110" s="425"/>
      <c r="D110" s="425"/>
      <c r="E110" s="425"/>
      <c r="F110" s="426"/>
      <c r="G110" s="432" t="s">
        <v>1225</v>
      </c>
      <c r="H110" s="427" t="s">
        <v>1224</v>
      </c>
      <c r="I110" s="427" t="s">
        <v>1498</v>
      </c>
      <c r="J110" s="427" t="s">
        <v>94</v>
      </c>
      <c r="K110" s="424" t="s">
        <v>681</v>
      </c>
      <c r="L110" s="424" t="s">
        <v>1496</v>
      </c>
      <c r="M110" s="424" t="s">
        <v>1497</v>
      </c>
      <c r="N110" s="424" t="s">
        <v>682</v>
      </c>
      <c r="O110" s="424" t="s">
        <v>683</v>
      </c>
      <c r="P110" s="424" t="s">
        <v>87</v>
      </c>
      <c r="Q110" s="424" t="s">
        <v>684</v>
      </c>
      <c r="R110" s="424" t="s">
        <v>685</v>
      </c>
      <c r="S110" s="424" t="s">
        <v>690</v>
      </c>
      <c r="T110" s="424" t="s">
        <v>686</v>
      </c>
      <c r="U110" s="424" t="s">
        <v>687</v>
      </c>
      <c r="V110" s="424" t="s">
        <v>688</v>
      </c>
      <c r="W110" s="424" t="s">
        <v>689</v>
      </c>
      <c r="X110" s="424" t="s">
        <v>138</v>
      </c>
      <c r="Y110" s="424" t="s">
        <v>1385</v>
      </c>
      <c r="Z110" s="424" t="s">
        <v>1238</v>
      </c>
    </row>
    <row r="111" spans="1:26" s="457" customFormat="1" ht="15" customHeight="1" x14ac:dyDescent="0.25">
      <c r="A111" s="565" t="s">
        <v>1725</v>
      </c>
      <c r="B111" s="535" t="s">
        <v>115</v>
      </c>
      <c r="C111" s="487">
        <v>42794</v>
      </c>
      <c r="D111" s="488">
        <v>42795</v>
      </c>
      <c r="E111" s="486">
        <v>3</v>
      </c>
      <c r="F111" s="488">
        <v>42795</v>
      </c>
      <c r="G111" s="486">
        <v>7</v>
      </c>
      <c r="H111" s="539">
        <v>-8767</v>
      </c>
      <c r="I111" s="539">
        <v>0</v>
      </c>
      <c r="J111" s="539">
        <v>-3507</v>
      </c>
      <c r="K111" s="535">
        <v>-1</v>
      </c>
      <c r="L111" s="535">
        <v>-1</v>
      </c>
      <c r="M111" s="535">
        <v>-1</v>
      </c>
      <c r="N111" s="535">
        <v>-1</v>
      </c>
      <c r="O111" s="535">
        <v>-1</v>
      </c>
      <c r="P111" s="535"/>
      <c r="Q111" s="535"/>
      <c r="R111" s="535">
        <v>-1</v>
      </c>
      <c r="S111" s="535">
        <v>-1</v>
      </c>
      <c r="T111" s="535"/>
      <c r="U111" s="535"/>
      <c r="V111" s="535"/>
      <c r="W111" s="535"/>
      <c r="X111" s="535"/>
      <c r="Y111" s="535"/>
      <c r="Z111" s="535">
        <f t="shared" ref="Z111:Z119" si="11">SUM(K111:Y111)</f>
        <v>-7</v>
      </c>
    </row>
    <row r="112" spans="1:26" ht="15" customHeight="1" x14ac:dyDescent="0.25">
      <c r="A112" s="565" t="s">
        <v>1727</v>
      </c>
      <c r="B112" s="535" t="s">
        <v>115</v>
      </c>
      <c r="C112" s="487">
        <v>42794</v>
      </c>
      <c r="D112" s="488">
        <v>42795</v>
      </c>
      <c r="E112" s="486">
        <v>1</v>
      </c>
      <c r="F112" s="488">
        <v>42795</v>
      </c>
      <c r="G112" s="486">
        <v>1</v>
      </c>
      <c r="H112" s="539">
        <v>-1693</v>
      </c>
      <c r="I112" s="539">
        <v>0</v>
      </c>
      <c r="J112" s="539">
        <v>-677</v>
      </c>
      <c r="K112" s="535"/>
      <c r="L112" s="535"/>
      <c r="M112" s="535"/>
      <c r="N112" s="535"/>
      <c r="O112" s="535">
        <v>-1</v>
      </c>
      <c r="P112" s="535"/>
      <c r="Q112" s="535"/>
      <c r="R112" s="535"/>
      <c r="S112" s="535"/>
      <c r="T112" s="535"/>
      <c r="U112" s="535"/>
      <c r="V112" s="535"/>
      <c r="W112" s="535"/>
      <c r="X112" s="535"/>
      <c r="Y112" s="535"/>
      <c r="Z112" s="535">
        <f t="shared" si="11"/>
        <v>-1</v>
      </c>
    </row>
    <row r="113" spans="1:26" ht="15" customHeight="1" x14ac:dyDescent="0.25">
      <c r="A113" s="565" t="s">
        <v>1730</v>
      </c>
      <c r="B113" s="535" t="s">
        <v>115</v>
      </c>
      <c r="C113" s="487">
        <v>42794</v>
      </c>
      <c r="D113" s="488">
        <v>42795</v>
      </c>
      <c r="E113" s="486">
        <v>1</v>
      </c>
      <c r="F113" s="488">
        <v>42795</v>
      </c>
      <c r="G113" s="486">
        <v>1</v>
      </c>
      <c r="H113" s="539">
        <v>-1803</v>
      </c>
      <c r="I113" s="539">
        <v>0</v>
      </c>
      <c r="J113" s="539">
        <v>-444</v>
      </c>
      <c r="K113" s="535"/>
      <c r="L113" s="535"/>
      <c r="M113" s="535"/>
      <c r="N113" s="535"/>
      <c r="O113" s="535"/>
      <c r="P113" s="535"/>
      <c r="Q113" s="535"/>
      <c r="R113" s="535"/>
      <c r="S113" s="535">
        <v>-1</v>
      </c>
      <c r="T113" s="535"/>
      <c r="U113" s="535"/>
      <c r="V113" s="535"/>
      <c r="W113" s="535"/>
      <c r="X113" s="535"/>
      <c r="Y113" s="535"/>
      <c r="Z113" s="535">
        <f t="shared" si="11"/>
        <v>-1</v>
      </c>
    </row>
    <row r="114" spans="1:26" s="457" customFormat="1" ht="15" customHeight="1" x14ac:dyDescent="0.25">
      <c r="A114" s="531"/>
      <c r="B114" s="535"/>
      <c r="C114" s="487"/>
      <c r="D114" s="488"/>
      <c r="E114" s="486"/>
      <c r="F114" s="488"/>
      <c r="G114" s="486"/>
      <c r="H114" s="542"/>
      <c r="I114" s="539"/>
      <c r="J114" s="539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1"/>
        <v>0</v>
      </c>
    </row>
    <row r="115" spans="1:26" ht="15" customHeight="1" x14ac:dyDescent="0.25">
      <c r="A115" s="531"/>
      <c r="B115" s="535"/>
      <c r="C115" s="487"/>
      <c r="D115" s="488"/>
      <c r="E115" s="486"/>
      <c r="F115" s="488"/>
      <c r="G115" s="486"/>
      <c r="H115" s="542"/>
      <c r="I115" s="539"/>
      <c r="J115" s="539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>
        <f t="shared" si="11"/>
        <v>0</v>
      </c>
    </row>
    <row r="116" spans="1:26" ht="15" customHeight="1" x14ac:dyDescent="0.25">
      <c r="A116" s="531"/>
      <c r="B116" s="535"/>
      <c r="C116" s="487"/>
      <c r="D116" s="488"/>
      <c r="E116" s="486"/>
      <c r="F116" s="488"/>
      <c r="G116" s="486"/>
      <c r="H116" s="542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1"/>
        <v>0</v>
      </c>
    </row>
    <row r="117" spans="1:26" s="457" customFormat="1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1"/>
        <v>0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1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1"/>
        <v>0</v>
      </c>
    </row>
    <row r="120" spans="1:26" ht="15" customHeight="1" x14ac:dyDescent="0.25">
      <c r="A120" s="443" t="s">
        <v>1230</v>
      </c>
      <c r="B120" s="444"/>
      <c r="C120" s="445"/>
      <c r="D120" s="446"/>
      <c r="E120" s="447"/>
      <c r="F120" s="446"/>
      <c r="G120" s="447">
        <f>SUM(G111:G119)</f>
        <v>9</v>
      </c>
      <c r="H120" s="448">
        <f>SUM(H111:H119)</f>
        <v>-12263</v>
      </c>
      <c r="I120" s="448">
        <f t="shared" ref="I120:J120" si="12">SUM(I111:I119)</f>
        <v>0</v>
      </c>
      <c r="J120" s="448">
        <f t="shared" si="12"/>
        <v>-4628</v>
      </c>
      <c r="K120" s="447">
        <f>SUM(K111:K119)</f>
        <v>-1</v>
      </c>
      <c r="L120" s="447">
        <f t="shared" ref="L120:Z120" si="13">SUM(L111:L119)</f>
        <v>-1</v>
      </c>
      <c r="M120" s="447">
        <f t="shared" si="13"/>
        <v>-1</v>
      </c>
      <c r="N120" s="447">
        <f t="shared" si="13"/>
        <v>-1</v>
      </c>
      <c r="O120" s="447">
        <f t="shared" si="13"/>
        <v>-2</v>
      </c>
      <c r="P120" s="447">
        <f t="shared" si="13"/>
        <v>0</v>
      </c>
      <c r="Q120" s="447">
        <f t="shared" si="13"/>
        <v>0</v>
      </c>
      <c r="R120" s="447">
        <f t="shared" si="13"/>
        <v>-1</v>
      </c>
      <c r="S120" s="447">
        <f t="shared" si="13"/>
        <v>-2</v>
      </c>
      <c r="T120" s="447">
        <f t="shared" si="13"/>
        <v>0</v>
      </c>
      <c r="U120" s="447">
        <f t="shared" si="13"/>
        <v>0</v>
      </c>
      <c r="V120" s="447">
        <f t="shared" si="13"/>
        <v>0</v>
      </c>
      <c r="W120" s="447">
        <f t="shared" si="13"/>
        <v>0</v>
      </c>
      <c r="X120" s="447">
        <f t="shared" si="13"/>
        <v>0</v>
      </c>
      <c r="Y120" s="447">
        <f t="shared" si="13"/>
        <v>0</v>
      </c>
      <c r="Z120" s="447">
        <f t="shared" si="13"/>
        <v>-9</v>
      </c>
    </row>
    <row r="122" spans="1:26" x14ac:dyDescent="0.25">
      <c r="A122" s="739" t="s">
        <v>1231</v>
      </c>
      <c r="B122" s="739"/>
    </row>
    <row r="123" spans="1:26" ht="30" x14ac:dyDescent="0.25">
      <c r="A123" s="569" t="s">
        <v>1</v>
      </c>
      <c r="B123" s="569" t="s">
        <v>59</v>
      </c>
      <c r="C123" s="425"/>
      <c r="D123" s="425"/>
      <c r="E123" s="425"/>
      <c r="F123" s="426"/>
      <c r="G123" s="432" t="s">
        <v>1225</v>
      </c>
      <c r="H123" s="427" t="s">
        <v>1224</v>
      </c>
      <c r="I123" s="427" t="s">
        <v>1498</v>
      </c>
      <c r="J123" s="427" t="s">
        <v>94</v>
      </c>
      <c r="K123" s="424" t="s">
        <v>681</v>
      </c>
      <c r="L123" s="424" t="s">
        <v>1496</v>
      </c>
      <c r="M123" s="424" t="s">
        <v>1497</v>
      </c>
      <c r="N123" s="424" t="s">
        <v>682</v>
      </c>
      <c r="O123" s="424" t="s">
        <v>683</v>
      </c>
      <c r="P123" s="424" t="s">
        <v>87</v>
      </c>
      <c r="Q123" s="424" t="s">
        <v>684</v>
      </c>
      <c r="R123" s="424" t="s">
        <v>685</v>
      </c>
      <c r="S123" s="424" t="s">
        <v>690</v>
      </c>
      <c r="T123" s="424" t="s">
        <v>686</v>
      </c>
      <c r="U123" s="424" t="s">
        <v>687</v>
      </c>
      <c r="V123" s="424" t="s">
        <v>688</v>
      </c>
      <c r="W123" s="424" t="s">
        <v>689</v>
      </c>
      <c r="X123" s="424" t="s">
        <v>138</v>
      </c>
      <c r="Y123" s="424" t="s">
        <v>1385</v>
      </c>
      <c r="Z123" s="424" t="s">
        <v>1238</v>
      </c>
    </row>
    <row r="124" spans="1:26" ht="15" customHeight="1" x14ac:dyDescent="0.25">
      <c r="A124" s="565" t="s">
        <v>227</v>
      </c>
      <c r="B124" s="535" t="s">
        <v>115</v>
      </c>
      <c r="C124" s="487"/>
      <c r="D124" s="488"/>
      <c r="E124" s="486"/>
      <c r="F124" s="488">
        <v>42803</v>
      </c>
      <c r="G124" s="486">
        <v>-2</v>
      </c>
      <c r="H124" s="539">
        <v>-3286</v>
      </c>
      <c r="I124" s="539">
        <v>0</v>
      </c>
      <c r="J124" s="539">
        <v>-1314</v>
      </c>
      <c r="K124" s="535"/>
      <c r="L124" s="535"/>
      <c r="M124" s="535"/>
      <c r="N124" s="535">
        <v>-1</v>
      </c>
      <c r="O124" s="535"/>
      <c r="P124" s="535"/>
      <c r="Q124" s="535"/>
      <c r="R124" s="535">
        <v>-1</v>
      </c>
      <c r="S124" s="535"/>
      <c r="T124" s="535"/>
      <c r="U124" s="535"/>
      <c r="V124" s="535"/>
      <c r="W124" s="535"/>
      <c r="X124" s="535"/>
      <c r="Y124" s="535"/>
      <c r="Z124" s="535">
        <f t="shared" ref="Z124:Z128" si="14">SUM(K124:Y124)</f>
        <v>-2</v>
      </c>
    </row>
    <row r="125" spans="1:26" ht="15" customHeight="1" x14ac:dyDescent="0.25">
      <c r="A125" s="565" t="s">
        <v>179</v>
      </c>
      <c r="B125" s="535" t="s">
        <v>100</v>
      </c>
      <c r="C125" s="487"/>
      <c r="D125" s="488"/>
      <c r="E125" s="486"/>
      <c r="F125" s="488">
        <v>42801</v>
      </c>
      <c r="G125" s="486">
        <v>-2</v>
      </c>
      <c r="H125" s="539">
        <v>-3286</v>
      </c>
      <c r="I125" s="539">
        <v>0</v>
      </c>
      <c r="J125" s="539">
        <v>-1314</v>
      </c>
      <c r="K125" s="535">
        <v>-1</v>
      </c>
      <c r="L125" s="535"/>
      <c r="M125" s="535"/>
      <c r="N125" s="535"/>
      <c r="O125" s="535"/>
      <c r="P125" s="535">
        <v>-1</v>
      </c>
      <c r="Q125" s="535"/>
      <c r="R125" s="535"/>
      <c r="S125" s="535"/>
      <c r="T125" s="535"/>
      <c r="U125" s="535"/>
      <c r="V125" s="535"/>
      <c r="W125" s="535"/>
      <c r="X125" s="535"/>
      <c r="Y125" s="535"/>
      <c r="Z125" s="535">
        <f t="shared" ref="Z125:Z126" si="15">SUM(K125:Y125)</f>
        <v>-2</v>
      </c>
    </row>
    <row r="126" spans="1:26" ht="15" customHeight="1" x14ac:dyDescent="0.25">
      <c r="A126" s="565" t="s">
        <v>1599</v>
      </c>
      <c r="B126" s="535" t="s">
        <v>115</v>
      </c>
      <c r="C126" s="487"/>
      <c r="D126" s="488"/>
      <c r="E126" s="486"/>
      <c r="F126" s="488">
        <v>42808</v>
      </c>
      <c r="G126" s="486">
        <v>-1</v>
      </c>
      <c r="H126" s="539">
        <v>-1693</v>
      </c>
      <c r="I126" s="539">
        <v>0</v>
      </c>
      <c r="J126" s="539">
        <v>-677</v>
      </c>
      <c r="K126" s="535"/>
      <c r="L126" s="535"/>
      <c r="M126" s="535"/>
      <c r="N126" s="535"/>
      <c r="O126" s="535"/>
      <c r="P126" s="535">
        <v>-1</v>
      </c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5"/>
        <v>-1</v>
      </c>
    </row>
    <row r="127" spans="1:26" ht="15" customHeight="1" x14ac:dyDescent="0.25">
      <c r="A127" s="565" t="s">
        <v>1501</v>
      </c>
      <c r="B127" s="535" t="s">
        <v>115</v>
      </c>
      <c r="C127" s="487"/>
      <c r="D127" s="488"/>
      <c r="E127" s="486"/>
      <c r="F127" s="488">
        <v>42816</v>
      </c>
      <c r="G127" s="486">
        <v>-3</v>
      </c>
      <c r="H127" s="539">
        <v>-4929</v>
      </c>
      <c r="I127" s="539">
        <v>0</v>
      </c>
      <c r="J127" s="539">
        <v>-1972</v>
      </c>
      <c r="K127" s="535">
        <v>-1</v>
      </c>
      <c r="L127" s="535"/>
      <c r="M127" s="535"/>
      <c r="N127" s="535">
        <v>-1</v>
      </c>
      <c r="O127" s="535">
        <v>-1</v>
      </c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>
        <f t="shared" si="14"/>
        <v>-3</v>
      </c>
    </row>
    <row r="128" spans="1:26" ht="15" customHeight="1" x14ac:dyDescent="0.25">
      <c r="A128" s="538"/>
      <c r="B128" s="535"/>
      <c r="C128" s="487"/>
      <c r="D128" s="488"/>
      <c r="E128" s="486"/>
      <c r="F128" s="488"/>
      <c r="G128" s="486"/>
      <c r="H128" s="539"/>
      <c r="I128" s="539"/>
      <c r="J128" s="539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>
        <f t="shared" si="14"/>
        <v>0</v>
      </c>
    </row>
    <row r="129" spans="1:26" ht="15" customHeight="1" x14ac:dyDescent="0.25">
      <c r="A129" s="443" t="s">
        <v>1230</v>
      </c>
      <c r="B129" s="444"/>
      <c r="C129" s="445"/>
      <c r="D129" s="446"/>
      <c r="E129" s="447"/>
      <c r="F129" s="446"/>
      <c r="G129" s="447">
        <f>SUM(G124:G128)</f>
        <v>-8</v>
      </c>
      <c r="H129" s="448">
        <f>SUM(H124:H128)</f>
        <v>-13194</v>
      </c>
      <c r="I129" s="448">
        <f t="shared" ref="I129:Z129" si="16">SUM(I124:I128)</f>
        <v>0</v>
      </c>
      <c r="J129" s="448">
        <f>SUM(J124:J128)</f>
        <v>-5277</v>
      </c>
      <c r="K129" s="447">
        <f t="shared" si="16"/>
        <v>-2</v>
      </c>
      <c r="L129" s="447">
        <f t="shared" si="16"/>
        <v>0</v>
      </c>
      <c r="M129" s="447">
        <f t="shared" si="16"/>
        <v>0</v>
      </c>
      <c r="N129" s="447">
        <f t="shared" si="16"/>
        <v>-2</v>
      </c>
      <c r="O129" s="447">
        <f t="shared" si="16"/>
        <v>-1</v>
      </c>
      <c r="P129" s="447">
        <f t="shared" si="16"/>
        <v>-2</v>
      </c>
      <c r="Q129" s="447">
        <f t="shared" si="16"/>
        <v>0</v>
      </c>
      <c r="R129" s="447">
        <f t="shared" si="16"/>
        <v>-1</v>
      </c>
      <c r="S129" s="447">
        <f t="shared" si="16"/>
        <v>0</v>
      </c>
      <c r="T129" s="447">
        <f t="shared" si="16"/>
        <v>0</v>
      </c>
      <c r="U129" s="447">
        <f t="shared" si="16"/>
        <v>0</v>
      </c>
      <c r="V129" s="447">
        <f t="shared" si="16"/>
        <v>0</v>
      </c>
      <c r="W129" s="447">
        <f t="shared" si="16"/>
        <v>0</v>
      </c>
      <c r="X129" s="447"/>
      <c r="Y129" s="447"/>
      <c r="Z129" s="447">
        <f t="shared" si="16"/>
        <v>-8</v>
      </c>
    </row>
    <row r="130" spans="1:26" ht="15.75" thickBot="1" x14ac:dyDescent="0.3"/>
    <row r="131" spans="1:26" ht="15.75" thickBot="1" x14ac:dyDescent="0.3">
      <c r="A131" s="436" t="s">
        <v>1232</v>
      </c>
      <c r="B131" s="434"/>
      <c r="C131" s="434"/>
      <c r="D131" s="434"/>
      <c r="E131" s="434"/>
      <c r="F131" s="434"/>
      <c r="G131" s="437">
        <f t="shared" ref="G131:Y131" si="17">G84+G95+G107+G120+G129</f>
        <v>9</v>
      </c>
      <c r="H131" s="438">
        <f t="shared" si="17"/>
        <v>5310.6999999999971</v>
      </c>
      <c r="I131" s="438">
        <f t="shared" si="17"/>
        <v>18400</v>
      </c>
      <c r="J131" s="438">
        <f t="shared" si="17"/>
        <v>72057</v>
      </c>
      <c r="K131" s="450">
        <f>K84+K95+K107+K120+K129</f>
        <v>0</v>
      </c>
      <c r="L131" s="450">
        <f t="shared" si="17"/>
        <v>-1</v>
      </c>
      <c r="M131" s="450">
        <f t="shared" si="17"/>
        <v>-1</v>
      </c>
      <c r="N131" s="450">
        <f t="shared" si="17"/>
        <v>-1</v>
      </c>
      <c r="O131" s="450">
        <f t="shared" si="17"/>
        <v>-2</v>
      </c>
      <c r="P131" s="450">
        <f t="shared" si="17"/>
        <v>1</v>
      </c>
      <c r="Q131" s="450">
        <f t="shared" si="17"/>
        <v>2</v>
      </c>
      <c r="R131" s="450">
        <f t="shared" si="17"/>
        <v>-2</v>
      </c>
      <c r="S131" s="450">
        <f t="shared" si="17"/>
        <v>-2</v>
      </c>
      <c r="T131" s="450">
        <f t="shared" si="17"/>
        <v>1</v>
      </c>
      <c r="U131" s="450">
        <f t="shared" si="17"/>
        <v>1</v>
      </c>
      <c r="V131" s="450">
        <f t="shared" si="17"/>
        <v>0</v>
      </c>
      <c r="W131" s="450">
        <f t="shared" si="17"/>
        <v>2</v>
      </c>
      <c r="X131" s="450">
        <f t="shared" si="17"/>
        <v>2</v>
      </c>
      <c r="Y131" s="450">
        <f t="shared" si="17"/>
        <v>2</v>
      </c>
      <c r="Z131" s="450">
        <f>Z84+Z95+Z107+Z120+Z129</f>
        <v>2</v>
      </c>
    </row>
    <row r="132" spans="1:26" ht="15.75" thickBot="1" x14ac:dyDescent="0.3">
      <c r="A132" s="436" t="s">
        <v>64</v>
      </c>
      <c r="B132" s="434"/>
      <c r="C132" s="434"/>
      <c r="D132" s="434"/>
      <c r="E132" s="434"/>
      <c r="F132" s="434"/>
      <c r="G132" s="437"/>
      <c r="H132" s="438"/>
      <c r="I132" s="438"/>
      <c r="J132" s="438"/>
    </row>
    <row r="133" spans="1:26" ht="15.75" thickBot="1" x14ac:dyDescent="0.3">
      <c r="A133" s="439" t="s">
        <v>452</v>
      </c>
      <c r="B133" s="440"/>
      <c r="C133" s="440"/>
      <c r="D133" s="440"/>
      <c r="E133" s="440"/>
      <c r="F133" s="440"/>
      <c r="G133" s="441"/>
      <c r="H133" s="442">
        <f>H131-H132</f>
        <v>5310.6999999999971</v>
      </c>
      <c r="I133" s="442"/>
      <c r="J133" s="442"/>
      <c r="L133" s="520">
        <f>SUM(K95:V95)+SUM(K107:V107)</f>
        <v>13</v>
      </c>
      <c r="W133" s="520">
        <f>SUM(W131:Y131)</f>
        <v>6</v>
      </c>
    </row>
    <row r="134" spans="1:26" x14ac:dyDescent="0.25">
      <c r="L134" s="520">
        <f>SUM(K120:V120)+SUM(K129:V129)</f>
        <v>-17</v>
      </c>
    </row>
    <row r="136" spans="1:26" x14ac:dyDescent="0.25">
      <c r="H136" s="435">
        <f>H84+H107+H120+H129</f>
        <v>-21620.300000000003</v>
      </c>
      <c r="I136" s="435"/>
      <c r="J136" s="435"/>
    </row>
  </sheetData>
  <mergeCells count="8">
    <mergeCell ref="G3:H3"/>
    <mergeCell ref="A86:B86"/>
    <mergeCell ref="A97:B97"/>
    <mergeCell ref="A109:B109"/>
    <mergeCell ref="A122:B122"/>
    <mergeCell ref="A3:B3"/>
    <mergeCell ref="C3:D3"/>
    <mergeCell ref="E3:F3"/>
  </mergeCells>
  <pageMargins left="0.7" right="0.7" top="0.75" bottom="0.75" header="0.3" footer="0.3"/>
  <pageSetup scale="54" orientation="portrait" r:id="rId1"/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35"/>
  <sheetViews>
    <sheetView topLeftCell="A110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1303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69" t="s">
        <v>1</v>
      </c>
      <c r="B4" s="569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5" t="s">
        <v>324</v>
      </c>
      <c r="B5" s="531" t="s">
        <v>61</v>
      </c>
      <c r="C5" s="531">
        <v>7</v>
      </c>
      <c r="D5" s="542">
        <v>10460</v>
      </c>
      <c r="E5" s="535">
        <v>7</v>
      </c>
      <c r="F5" s="542">
        <v>12493</v>
      </c>
      <c r="G5" s="535">
        <f t="shared" ref="G5:H36" si="0">E5-C5</f>
        <v>0</v>
      </c>
      <c r="H5" s="542">
        <f t="shared" si="0"/>
        <v>2033</v>
      </c>
      <c r="I5" s="542"/>
      <c r="J5" s="542">
        <v>4000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8" si="1">SUM(K5:Y5)</f>
        <v>0</v>
      </c>
    </row>
    <row r="6" spans="1:26" ht="14.45" customHeight="1" x14ac:dyDescent="0.25">
      <c r="A6" s="531" t="s">
        <v>24</v>
      </c>
      <c r="B6" s="530" t="s">
        <v>115</v>
      </c>
      <c r="C6" s="531">
        <v>8</v>
      </c>
      <c r="D6" s="542">
        <v>6404.0999999999995</v>
      </c>
      <c r="E6" s="535">
        <v>8</v>
      </c>
      <c r="F6" s="542">
        <v>5564</v>
      </c>
      <c r="G6" s="535">
        <f t="shared" si="0"/>
        <v>0</v>
      </c>
      <c r="H6" s="542">
        <f t="shared" si="0"/>
        <v>-840.09999999999945</v>
      </c>
      <c r="I6" s="542"/>
      <c r="J6" s="542">
        <v>2226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0" t="s">
        <v>1256</v>
      </c>
      <c r="B7" s="530" t="s">
        <v>115</v>
      </c>
      <c r="C7" s="530">
        <v>1</v>
      </c>
      <c r="D7" s="542">
        <v>1643</v>
      </c>
      <c r="E7" s="535">
        <v>1</v>
      </c>
      <c r="F7" s="542">
        <v>1693</v>
      </c>
      <c r="G7" s="535">
        <f t="shared" si="0"/>
        <v>0</v>
      </c>
      <c r="H7" s="542">
        <f t="shared" si="0"/>
        <v>50</v>
      </c>
      <c r="I7" s="542"/>
      <c r="J7" s="542">
        <v>677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1" t="s">
        <v>169</v>
      </c>
      <c r="B8" s="530" t="s">
        <v>61</v>
      </c>
      <c r="C8" s="531">
        <v>3</v>
      </c>
      <c r="D8" s="542">
        <v>4929</v>
      </c>
      <c r="E8" s="535">
        <v>3</v>
      </c>
      <c r="F8" s="542">
        <v>5079</v>
      </c>
      <c r="G8" s="535">
        <f t="shared" si="0"/>
        <v>0</v>
      </c>
      <c r="H8" s="542">
        <f t="shared" si="0"/>
        <v>150</v>
      </c>
      <c r="I8" s="542"/>
      <c r="J8" s="542">
        <v>2032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1" t="s">
        <v>247</v>
      </c>
      <c r="B9" s="531" t="s">
        <v>115</v>
      </c>
      <c r="C9" s="531">
        <v>9</v>
      </c>
      <c r="D9" s="542">
        <v>13520.000000000002</v>
      </c>
      <c r="E9" s="535">
        <v>9</v>
      </c>
      <c r="F9" s="542">
        <v>12893</v>
      </c>
      <c r="G9" s="535">
        <f t="shared" si="0"/>
        <v>0</v>
      </c>
      <c r="H9" s="542">
        <f t="shared" si="0"/>
        <v>-627.00000000000182</v>
      </c>
      <c r="I9" s="542"/>
      <c r="J9" s="542">
        <v>4000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1" t="s">
        <v>313</v>
      </c>
      <c r="B10" s="531" t="s">
        <v>61</v>
      </c>
      <c r="C10" s="531">
        <v>8</v>
      </c>
      <c r="D10" s="542">
        <v>8554</v>
      </c>
      <c r="E10" s="535">
        <v>8</v>
      </c>
      <c r="F10" s="542">
        <v>10814</v>
      </c>
      <c r="G10" s="535">
        <f t="shared" si="0"/>
        <v>0</v>
      </c>
      <c r="H10" s="542">
        <f t="shared" si="0"/>
        <v>2260</v>
      </c>
      <c r="I10" s="542"/>
      <c r="J10" s="542">
        <v>4000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0" t="s">
        <v>202</v>
      </c>
      <c r="B11" s="530" t="s">
        <v>115</v>
      </c>
      <c r="C11" s="531">
        <v>8</v>
      </c>
      <c r="D11" s="542">
        <v>9212.4</v>
      </c>
      <c r="E11" s="535">
        <v>8</v>
      </c>
      <c r="F11" s="542">
        <v>10936</v>
      </c>
      <c r="G11" s="535">
        <f t="shared" si="0"/>
        <v>0</v>
      </c>
      <c r="H11" s="542">
        <f t="shared" si="0"/>
        <v>1723.6000000000004</v>
      </c>
      <c r="I11" s="542"/>
      <c r="J11" s="542">
        <v>4000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0" t="s">
        <v>1535</v>
      </c>
      <c r="B12" s="530" t="s">
        <v>115</v>
      </c>
      <c r="C12" s="531">
        <v>11</v>
      </c>
      <c r="D12" s="542">
        <v>14218.4</v>
      </c>
      <c r="E12" s="535">
        <v>11</v>
      </c>
      <c r="F12" s="542">
        <v>17639</v>
      </c>
      <c r="G12" s="535">
        <f t="shared" si="0"/>
        <v>0</v>
      </c>
      <c r="H12" s="542">
        <f t="shared" si="0"/>
        <v>3420.6000000000004</v>
      </c>
      <c r="I12" s="542"/>
      <c r="J12" s="542">
        <v>4000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0" t="s">
        <v>196</v>
      </c>
      <c r="B13" s="530" t="s">
        <v>115</v>
      </c>
      <c r="C13" s="531">
        <v>5</v>
      </c>
      <c r="D13" s="542">
        <v>8346</v>
      </c>
      <c r="E13" s="535">
        <v>6</v>
      </c>
      <c r="F13" s="542">
        <v>7563</v>
      </c>
      <c r="G13" s="535">
        <f t="shared" si="0"/>
        <v>1</v>
      </c>
      <c r="H13" s="542">
        <f t="shared" si="0"/>
        <v>-783</v>
      </c>
      <c r="I13" s="542"/>
      <c r="J13" s="542">
        <v>3025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0" t="s">
        <v>23</v>
      </c>
      <c r="B14" s="530" t="s">
        <v>61</v>
      </c>
      <c r="C14" s="531">
        <v>9</v>
      </c>
      <c r="D14" s="542">
        <v>10612.1</v>
      </c>
      <c r="E14" s="535">
        <v>9</v>
      </c>
      <c r="F14" s="542">
        <v>11863</v>
      </c>
      <c r="G14" s="535">
        <f t="shared" si="0"/>
        <v>0</v>
      </c>
      <c r="H14" s="542">
        <f t="shared" si="0"/>
        <v>1250.8999999999996</v>
      </c>
      <c r="I14" s="542"/>
      <c r="J14" s="542">
        <v>4000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0" t="s">
        <v>248</v>
      </c>
      <c r="B15" s="530" t="s">
        <v>115</v>
      </c>
      <c r="C15" s="531">
        <v>2</v>
      </c>
      <c r="D15" s="542">
        <v>1835</v>
      </c>
      <c r="E15" s="535">
        <v>2</v>
      </c>
      <c r="F15" s="542">
        <v>2893</v>
      </c>
      <c r="G15" s="535">
        <f t="shared" si="0"/>
        <v>0</v>
      </c>
      <c r="H15" s="542">
        <f t="shared" si="0"/>
        <v>1058</v>
      </c>
      <c r="I15" s="542"/>
      <c r="J15" s="542">
        <v>1157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0" t="s">
        <v>249</v>
      </c>
      <c r="B16" s="530" t="s">
        <v>115</v>
      </c>
      <c r="C16" s="531">
        <v>2</v>
      </c>
      <c r="D16" s="542">
        <v>1730</v>
      </c>
      <c r="E16" s="535">
        <v>2</v>
      </c>
      <c r="F16" s="542">
        <v>1333</v>
      </c>
      <c r="G16" s="535">
        <f t="shared" si="0"/>
        <v>0</v>
      </c>
      <c r="H16" s="542">
        <f t="shared" si="0"/>
        <v>-397</v>
      </c>
      <c r="I16" s="542"/>
      <c r="J16" s="542">
        <v>533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0" t="s">
        <v>1313</v>
      </c>
      <c r="B17" s="530" t="s">
        <v>61</v>
      </c>
      <c r="C17" s="530">
        <v>3</v>
      </c>
      <c r="D17" s="542">
        <v>4929</v>
      </c>
      <c r="E17" s="535">
        <v>3</v>
      </c>
      <c r="F17" s="542">
        <v>5079</v>
      </c>
      <c r="G17" s="535">
        <f t="shared" si="0"/>
        <v>0</v>
      </c>
      <c r="H17" s="542">
        <f t="shared" si="0"/>
        <v>150</v>
      </c>
      <c r="I17" s="542"/>
      <c r="J17" s="542">
        <v>2032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0" t="s">
        <v>246</v>
      </c>
      <c r="B18" s="530" t="s">
        <v>115</v>
      </c>
      <c r="C18" s="531">
        <v>11</v>
      </c>
      <c r="D18" s="542">
        <v>14617.100000000002</v>
      </c>
      <c r="E18" s="535">
        <v>12</v>
      </c>
      <c r="F18" s="542">
        <v>16502</v>
      </c>
      <c r="G18" s="535">
        <f t="shared" si="0"/>
        <v>1</v>
      </c>
      <c r="H18" s="542">
        <f t="shared" si="0"/>
        <v>1884.8999999999978</v>
      </c>
      <c r="I18" s="542"/>
      <c r="J18" s="542">
        <v>4000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6" t="s">
        <v>327</v>
      </c>
      <c r="B19" s="530" t="s">
        <v>61</v>
      </c>
      <c r="C19" s="531">
        <v>3</v>
      </c>
      <c r="D19" s="542">
        <v>4929</v>
      </c>
      <c r="E19" s="535">
        <v>3</v>
      </c>
      <c r="F19" s="542">
        <v>5079</v>
      </c>
      <c r="G19" s="535">
        <f t="shared" si="0"/>
        <v>0</v>
      </c>
      <c r="H19" s="542">
        <f t="shared" si="0"/>
        <v>150</v>
      </c>
      <c r="I19" s="542"/>
      <c r="J19" s="542">
        <v>2032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30" t="s">
        <v>1304</v>
      </c>
      <c r="B20" s="530" t="s">
        <v>115</v>
      </c>
      <c r="C20" s="530">
        <v>5</v>
      </c>
      <c r="D20" s="542">
        <v>7975</v>
      </c>
      <c r="E20" s="535">
        <v>5</v>
      </c>
      <c r="F20" s="542">
        <v>8215</v>
      </c>
      <c r="G20" s="535">
        <f t="shared" si="0"/>
        <v>0</v>
      </c>
      <c r="H20" s="542">
        <f t="shared" si="0"/>
        <v>240</v>
      </c>
      <c r="I20" s="542"/>
      <c r="J20" s="542">
        <v>3286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1"/>
      <c r="B21" s="530"/>
      <c r="C21" s="531"/>
      <c r="D21" s="542"/>
      <c r="E21" s="535"/>
      <c r="F21" s="542"/>
      <c r="G21" s="535">
        <f t="shared" si="0"/>
        <v>0</v>
      </c>
      <c r="H21" s="542">
        <f t="shared" si="0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1"/>
      <c r="B22" s="530"/>
      <c r="C22" s="531"/>
      <c r="D22" s="542"/>
      <c r="E22" s="535"/>
      <c r="F22" s="542"/>
      <c r="G22" s="535">
        <f t="shared" si="0"/>
        <v>0</v>
      </c>
      <c r="H22" s="542">
        <f t="shared" si="0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530"/>
      <c r="B23" s="530"/>
      <c r="C23" s="531"/>
      <c r="D23" s="542"/>
      <c r="E23" s="535"/>
      <c r="F23" s="542"/>
      <c r="G23" s="535">
        <f t="shared" si="0"/>
        <v>0</v>
      </c>
      <c r="H23" s="542">
        <f t="shared" si="0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530"/>
      <c r="B24" s="530"/>
      <c r="C24" s="531"/>
      <c r="D24" s="542"/>
      <c r="E24" s="535"/>
      <c r="F24" s="542"/>
      <c r="G24" s="535">
        <f t="shared" si="0"/>
        <v>0</v>
      </c>
      <c r="H24" s="542">
        <f t="shared" si="0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530"/>
      <c r="B25" s="530"/>
      <c r="C25" s="531"/>
      <c r="D25" s="542"/>
      <c r="E25" s="535"/>
      <c r="F25" s="542"/>
      <c r="G25" s="535">
        <f t="shared" si="0"/>
        <v>0</v>
      </c>
      <c r="H25" s="542">
        <f t="shared" si="0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530"/>
      <c r="B26" s="530"/>
      <c r="C26" s="531"/>
      <c r="D26" s="542"/>
      <c r="E26" s="535"/>
      <c r="F26" s="542"/>
      <c r="G26" s="535">
        <f t="shared" si="0"/>
        <v>0</v>
      </c>
      <c r="H26" s="542">
        <f t="shared" si="0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customHeight="1" x14ac:dyDescent="0.25">
      <c r="A27" s="531"/>
      <c r="B27" s="530"/>
      <c r="C27" s="531"/>
      <c r="D27" s="542"/>
      <c r="E27" s="535"/>
      <c r="F27" s="542"/>
      <c r="G27" s="535">
        <f t="shared" si="0"/>
        <v>0</v>
      </c>
      <c r="H27" s="542">
        <f t="shared" si="0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customHeight="1" x14ac:dyDescent="0.25">
      <c r="A28" s="536"/>
      <c r="B28" s="530"/>
      <c r="C28" s="531"/>
      <c r="D28" s="542"/>
      <c r="E28" s="535"/>
      <c r="F28" s="542"/>
      <c r="G28" s="535">
        <f t="shared" si="0"/>
        <v>0</v>
      </c>
      <c r="H28" s="542">
        <f t="shared" si="0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customHeight="1" x14ac:dyDescent="0.25">
      <c r="A29" s="531"/>
      <c r="B29" s="530"/>
      <c r="C29" s="531"/>
      <c r="D29" s="542"/>
      <c r="E29" s="535"/>
      <c r="F29" s="542"/>
      <c r="G29" s="535">
        <f t="shared" si="0"/>
        <v>0</v>
      </c>
      <c r="H29" s="542">
        <f t="shared" si="0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customHeight="1" x14ac:dyDescent="0.25">
      <c r="A30" s="531"/>
      <c r="B30" s="530"/>
      <c r="C30" s="531"/>
      <c r="D30" s="542"/>
      <c r="E30" s="535"/>
      <c r="F30" s="542"/>
      <c r="G30" s="535">
        <f t="shared" si="0"/>
        <v>0</v>
      </c>
      <c r="H30" s="542">
        <f t="shared" si="0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customHeight="1" x14ac:dyDescent="0.25">
      <c r="A31" s="531"/>
      <c r="B31" s="530"/>
      <c r="C31" s="531"/>
      <c r="D31" s="542"/>
      <c r="E31" s="535"/>
      <c r="F31" s="542"/>
      <c r="G31" s="535">
        <f t="shared" si="0"/>
        <v>0</v>
      </c>
      <c r="H31" s="542">
        <f t="shared" si="0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customHeight="1" x14ac:dyDescent="0.25">
      <c r="A32" s="531"/>
      <c r="B32" s="530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customHeight="1" x14ac:dyDescent="0.25">
      <c r="A33" s="531"/>
      <c r="B33" s="530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531"/>
      <c r="B34" s="530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531"/>
      <c r="B35" s="530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customHeight="1" x14ac:dyDescent="0.25">
      <c r="A36" s="531"/>
      <c r="B36" s="530"/>
      <c r="C36" s="531"/>
      <c r="D36" s="542"/>
      <c r="E36" s="535"/>
      <c r="F36" s="542"/>
      <c r="G36" s="535">
        <f t="shared" si="0"/>
        <v>0</v>
      </c>
      <c r="H36" s="542">
        <f t="shared" si="0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1"/>
      <c r="B37" s="530"/>
      <c r="C37" s="531"/>
      <c r="D37" s="542"/>
      <c r="E37" s="535"/>
      <c r="F37" s="542"/>
      <c r="G37" s="535">
        <f t="shared" ref="G37:H68" si="2">E37-C37</f>
        <v>0</v>
      </c>
      <c r="H37" s="542">
        <f t="shared" si="2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>
        <f t="shared" si="2"/>
        <v>0</v>
      </c>
      <c r="H38" s="542">
        <f t="shared" si="2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>
        <f t="shared" si="2"/>
        <v>0</v>
      </c>
      <c r="H39" s="542">
        <f t="shared" si="2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>
        <f t="shared" si="2"/>
        <v>0</v>
      </c>
      <c r="H40" s="542">
        <f t="shared" si="2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>
        <f t="shared" si="2"/>
        <v>0</v>
      </c>
      <c r="H41" s="542">
        <f t="shared" si="2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4.45" hidden="1" customHeight="1" x14ac:dyDescent="0.25">
      <c r="A42" s="530"/>
      <c r="B42" s="530"/>
      <c r="C42" s="531"/>
      <c r="D42" s="542"/>
      <c r="E42" s="535"/>
      <c r="F42" s="542"/>
      <c r="G42" s="535">
        <f t="shared" si="2"/>
        <v>0</v>
      </c>
      <c r="H42" s="542">
        <f t="shared" si="2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2"/>
        <v>0</v>
      </c>
      <c r="H43" s="542">
        <f t="shared" si="2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1"/>
      <c r="D44" s="542"/>
      <c r="E44" s="535"/>
      <c r="F44" s="542"/>
      <c r="G44" s="535">
        <f t="shared" si="2"/>
        <v>0</v>
      </c>
      <c r="H44" s="542">
        <f t="shared" si="2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0"/>
      <c r="D45" s="542"/>
      <c r="E45" s="535"/>
      <c r="F45" s="542"/>
      <c r="G45" s="535">
        <f t="shared" si="2"/>
        <v>0</v>
      </c>
      <c r="H45" s="542">
        <f t="shared" si="2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2"/>
        <v>0</v>
      </c>
      <c r="H46" s="542">
        <f t="shared" si="2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2"/>
        <v>0</v>
      </c>
      <c r="H47" s="542">
        <f t="shared" si="2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0"/>
      <c r="B48" s="530"/>
      <c r="C48" s="531"/>
      <c r="D48" s="542"/>
      <c r="E48" s="535"/>
      <c r="F48" s="542"/>
      <c r="G48" s="535">
        <f t="shared" si="2"/>
        <v>0</v>
      </c>
      <c r="H48" s="542">
        <f t="shared" si="2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7"/>
      <c r="B49" s="530"/>
      <c r="C49" s="531"/>
      <c r="D49" s="542"/>
      <c r="E49" s="535"/>
      <c r="F49" s="542"/>
      <c r="G49" s="535">
        <f t="shared" si="2"/>
        <v>0</v>
      </c>
      <c r="H49" s="542">
        <f t="shared" si="2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1"/>
      <c r="B50" s="530"/>
      <c r="C50" s="531"/>
      <c r="D50" s="542"/>
      <c r="E50" s="535"/>
      <c r="F50" s="542"/>
      <c r="G50" s="535">
        <f t="shared" si="2"/>
        <v>0</v>
      </c>
      <c r="H50" s="542">
        <f t="shared" si="2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2"/>
        <v>0</v>
      </c>
      <c r="H51" s="542">
        <f t="shared" si="2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2"/>
        <v>0</v>
      </c>
      <c r="H52" s="542">
        <f t="shared" si="2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2"/>
        <v>0</v>
      </c>
      <c r="H53" s="542">
        <f t="shared" si="2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2"/>
        <v>0</v>
      </c>
      <c r="H54" s="542">
        <f t="shared" si="2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2"/>
        <v>0</v>
      </c>
      <c r="H55" s="542">
        <f t="shared" si="2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2"/>
        <v>0</v>
      </c>
      <c r="H56" s="542">
        <f t="shared" si="2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0"/>
      <c r="D57" s="542"/>
      <c r="E57" s="530"/>
      <c r="F57" s="542"/>
      <c r="G57" s="535">
        <f t="shared" si="2"/>
        <v>0</v>
      </c>
      <c r="H57" s="542">
        <f t="shared" si="2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2"/>
        <v>0</v>
      </c>
      <c r="H58" s="542">
        <f t="shared" si="2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2"/>
        <v>0</v>
      </c>
      <c r="H59" s="542">
        <f t="shared" si="2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1"/>
      <c r="F60" s="542"/>
      <c r="G60" s="535">
        <f t="shared" si="2"/>
        <v>0</v>
      </c>
      <c r="H60" s="542">
        <f t="shared" si="2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2"/>
        <v>0</v>
      </c>
      <c r="H61" s="542">
        <f t="shared" si="2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2"/>
        <v>0</v>
      </c>
      <c r="H62" s="542">
        <f t="shared" si="2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2"/>
        <v>0</v>
      </c>
      <c r="H63" s="542">
        <f t="shared" si="2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2"/>
        <v>0</v>
      </c>
      <c r="H64" s="542">
        <f t="shared" si="2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2"/>
        <v>0</v>
      </c>
      <c r="H65" s="542">
        <f t="shared" si="2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2"/>
        <v>0</v>
      </c>
      <c r="H66" s="542">
        <f t="shared" si="2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2"/>
        <v>0</v>
      </c>
      <c r="H67" s="542">
        <f t="shared" si="2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si="2"/>
        <v>0</v>
      </c>
      <c r="H68" s="542">
        <f t="shared" si="2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1"/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ref="G69:H83" si="3">E69-C69</f>
        <v>0</v>
      </c>
      <c r="H69" s="542">
        <f t="shared" si="3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4">SUM(K69:Y69)</f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3"/>
        <v>0</v>
      </c>
      <c r="H70" s="542">
        <f t="shared" si="3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3"/>
        <v>0</v>
      </c>
      <c r="H71" s="542">
        <f t="shared" si="3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hidden="1" customHeight="1" x14ac:dyDescent="0.25">
      <c r="A72" s="530"/>
      <c r="B72" s="530"/>
      <c r="C72" s="531"/>
      <c r="D72" s="542"/>
      <c r="E72" s="535"/>
      <c r="F72" s="542"/>
      <c r="G72" s="535">
        <f t="shared" si="3"/>
        <v>0</v>
      </c>
      <c r="H72" s="542">
        <f t="shared" si="3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hidden="1" customHeight="1" x14ac:dyDescent="0.25">
      <c r="A73" s="534"/>
      <c r="B73" s="530"/>
      <c r="C73" s="531"/>
      <c r="D73" s="542"/>
      <c r="E73" s="535"/>
      <c r="F73" s="542"/>
      <c r="G73" s="535">
        <f t="shared" si="3"/>
        <v>0</v>
      </c>
      <c r="H73" s="542">
        <f t="shared" si="3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hidden="1" customHeight="1" x14ac:dyDescent="0.25">
      <c r="A74" s="530"/>
      <c r="B74" s="530"/>
      <c r="C74" s="531"/>
      <c r="D74" s="542"/>
      <c r="E74" s="535"/>
      <c r="F74" s="542"/>
      <c r="G74" s="535">
        <f t="shared" si="3"/>
        <v>0</v>
      </c>
      <c r="H74" s="542">
        <f t="shared" si="3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hidden="1" customHeight="1" x14ac:dyDescent="0.25">
      <c r="A75" s="534"/>
      <c r="B75" s="530"/>
      <c r="C75" s="531"/>
      <c r="D75" s="542"/>
      <c r="E75" s="535"/>
      <c r="F75" s="542"/>
      <c r="G75" s="535">
        <f t="shared" si="3"/>
        <v>0</v>
      </c>
      <c r="H75" s="542">
        <f t="shared" si="3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hidden="1" customHeight="1" x14ac:dyDescent="0.25">
      <c r="A76" s="530"/>
      <c r="B76" s="530"/>
      <c r="C76" s="531"/>
      <c r="D76" s="542"/>
      <c r="E76" s="535"/>
      <c r="F76" s="542"/>
      <c r="G76" s="535">
        <f t="shared" si="3"/>
        <v>0</v>
      </c>
      <c r="H76" s="542">
        <f t="shared" si="3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hidden="1" customHeight="1" x14ac:dyDescent="0.25">
      <c r="A77" s="533"/>
      <c r="B77" s="530"/>
      <c r="C77" s="531"/>
      <c r="D77" s="542"/>
      <c r="E77" s="535"/>
      <c r="F77" s="542"/>
      <c r="G77" s="535">
        <f t="shared" si="3"/>
        <v>0</v>
      </c>
      <c r="H77" s="542">
        <f t="shared" si="3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4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3"/>
        <v>0</v>
      </c>
      <c r="H78" s="542">
        <f t="shared" si="3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4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3"/>
        <v>0</v>
      </c>
      <c r="H79" s="542">
        <f t="shared" si="3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4"/>
        <v>0</v>
      </c>
    </row>
    <row r="80" spans="1:26" ht="15" hidden="1" customHeight="1" x14ac:dyDescent="0.25">
      <c r="A80" s="530"/>
      <c r="B80" s="530"/>
      <c r="C80" s="531"/>
      <c r="D80" s="542"/>
      <c r="E80" s="535"/>
      <c r="F80" s="542"/>
      <c r="G80" s="535">
        <f t="shared" si="3"/>
        <v>0</v>
      </c>
      <c r="H80" s="542">
        <f t="shared" si="3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4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3"/>
        <v>0</v>
      </c>
      <c r="H81" s="542">
        <f t="shared" si="3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4"/>
        <v>0</v>
      </c>
    </row>
    <row r="82" spans="1:26" ht="15" hidden="1" customHeight="1" x14ac:dyDescent="0.25">
      <c r="A82" s="530"/>
      <c r="B82" s="530"/>
      <c r="C82" s="530"/>
      <c r="D82" s="542"/>
      <c r="E82" s="535"/>
      <c r="F82" s="542"/>
      <c r="G82" s="535">
        <f t="shared" si="3"/>
        <v>0</v>
      </c>
      <c r="H82" s="542">
        <f t="shared" si="3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4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3"/>
        <v>0</v>
      </c>
      <c r="H83" s="542">
        <f t="shared" si="3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4"/>
        <v>0</v>
      </c>
    </row>
    <row r="84" spans="1:26" ht="15" customHeight="1" x14ac:dyDescent="0.25">
      <c r="A84" s="443" t="s">
        <v>1221</v>
      </c>
      <c r="B84" s="444"/>
      <c r="C84" s="447">
        <f t="shared" ref="C84:Z84" si="5">SUM(C5:C83)</f>
        <v>95</v>
      </c>
      <c r="D84" s="466">
        <f t="shared" si="5"/>
        <v>123914.1</v>
      </c>
      <c r="E84" s="447">
        <f t="shared" si="5"/>
        <v>97</v>
      </c>
      <c r="F84" s="466">
        <f t="shared" si="5"/>
        <v>135638</v>
      </c>
      <c r="G84" s="447">
        <f t="shared" si="5"/>
        <v>2</v>
      </c>
      <c r="H84" s="466">
        <f>SUM(H5:H83)</f>
        <v>11723.899999999998</v>
      </c>
      <c r="I84" s="448">
        <f t="shared" si="5"/>
        <v>0</v>
      </c>
      <c r="J84" s="447">
        <f t="shared" si="5"/>
        <v>45000</v>
      </c>
      <c r="K84" s="448">
        <f t="shared" si="5"/>
        <v>0</v>
      </c>
      <c r="L84" s="447">
        <f t="shared" si="5"/>
        <v>0</v>
      </c>
      <c r="M84" s="447">
        <f t="shared" si="5"/>
        <v>0</v>
      </c>
      <c r="N84" s="447">
        <f t="shared" si="5"/>
        <v>0</v>
      </c>
      <c r="O84" s="447">
        <f t="shared" si="5"/>
        <v>0</v>
      </c>
      <c r="P84" s="447">
        <f t="shared" si="5"/>
        <v>0</v>
      </c>
      <c r="Q84" s="447">
        <f t="shared" si="5"/>
        <v>0</v>
      </c>
      <c r="R84" s="447">
        <f t="shared" si="5"/>
        <v>0</v>
      </c>
      <c r="S84" s="447">
        <f t="shared" si="5"/>
        <v>0</v>
      </c>
      <c r="T84" s="447">
        <f t="shared" si="5"/>
        <v>0</v>
      </c>
      <c r="U84" s="447">
        <f t="shared" si="5"/>
        <v>0</v>
      </c>
      <c r="V84" s="447">
        <f t="shared" si="5"/>
        <v>0</v>
      </c>
      <c r="W84" s="447">
        <f t="shared" si="5"/>
        <v>0</v>
      </c>
      <c r="X84" s="447">
        <f t="shared" si="5"/>
        <v>0</v>
      </c>
      <c r="Y84" s="447">
        <f t="shared" si="5"/>
        <v>0</v>
      </c>
      <c r="Z84" s="447">
        <f t="shared" si="5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ht="15" customHeight="1" x14ac:dyDescent="0.25">
      <c r="A88" s="571" t="s">
        <v>1741</v>
      </c>
      <c r="B88" s="496" t="s">
        <v>115</v>
      </c>
      <c r="C88" s="497">
        <v>42835</v>
      </c>
      <c r="D88" s="498">
        <v>42839</v>
      </c>
      <c r="E88" s="499">
        <v>4</v>
      </c>
      <c r="F88" s="498">
        <v>42837</v>
      </c>
      <c r="G88" s="499">
        <v>1</v>
      </c>
      <c r="H88" s="554">
        <v>1693</v>
      </c>
      <c r="I88" s="554">
        <v>2500</v>
      </c>
      <c r="J88" s="554">
        <v>677</v>
      </c>
      <c r="K88" s="496"/>
      <c r="L88" s="496"/>
      <c r="M88" s="496"/>
      <c r="N88" s="496"/>
      <c r="O88" s="496"/>
      <c r="P88" s="496"/>
      <c r="Q88" s="496">
        <v>1</v>
      </c>
      <c r="R88" s="496"/>
      <c r="S88" s="496"/>
      <c r="T88" s="496"/>
      <c r="U88" s="496"/>
      <c r="V88" s="496"/>
      <c r="W88" s="496"/>
      <c r="X88" s="496"/>
      <c r="Y88" s="496"/>
      <c r="Z88" s="496">
        <f t="shared" ref="Z88:Z91" si="6">SUM(K88:Y88)</f>
        <v>1</v>
      </c>
    </row>
    <row r="89" spans="1:26" ht="15" customHeight="1" x14ac:dyDescent="0.25">
      <c r="A89" s="571" t="s">
        <v>1742</v>
      </c>
      <c r="B89" s="496" t="s">
        <v>115</v>
      </c>
      <c r="C89" s="497">
        <v>42782</v>
      </c>
      <c r="D89" s="498">
        <v>42839</v>
      </c>
      <c r="E89" s="499">
        <v>58</v>
      </c>
      <c r="F89" s="498">
        <v>42826</v>
      </c>
      <c r="G89" s="499">
        <v>1</v>
      </c>
      <c r="H89" s="554">
        <v>1693</v>
      </c>
      <c r="I89" s="554">
        <v>2500</v>
      </c>
      <c r="J89" s="554">
        <v>677</v>
      </c>
      <c r="K89" s="496"/>
      <c r="L89" s="496"/>
      <c r="M89" s="496"/>
      <c r="N89" s="496"/>
      <c r="O89" s="496"/>
      <c r="P89" s="496"/>
      <c r="Q89" s="496">
        <v>1</v>
      </c>
      <c r="R89" s="496"/>
      <c r="S89" s="496"/>
      <c r="T89" s="496"/>
      <c r="U89" s="496"/>
      <c r="V89" s="496"/>
      <c r="W89" s="496"/>
      <c r="X89" s="496"/>
      <c r="Y89" s="496"/>
      <c r="Z89" s="496">
        <f t="shared" si="6"/>
        <v>1</v>
      </c>
    </row>
    <row r="90" spans="1:26" ht="15" customHeight="1" x14ac:dyDescent="0.25">
      <c r="A90" s="571" t="s">
        <v>1743</v>
      </c>
      <c r="B90" s="535" t="s">
        <v>115</v>
      </c>
      <c r="C90" s="487">
        <v>42782</v>
      </c>
      <c r="D90" s="488">
        <v>42839</v>
      </c>
      <c r="E90" s="486">
        <v>58</v>
      </c>
      <c r="F90" s="488">
        <v>42826</v>
      </c>
      <c r="G90" s="486">
        <v>1</v>
      </c>
      <c r="H90" s="539">
        <v>1693</v>
      </c>
      <c r="I90" s="539">
        <v>2500</v>
      </c>
      <c r="J90" s="539">
        <v>677</v>
      </c>
      <c r="K90" s="535"/>
      <c r="L90" s="535"/>
      <c r="M90" s="535"/>
      <c r="N90" s="535"/>
      <c r="O90" s="535"/>
      <c r="P90" s="535"/>
      <c r="Q90" s="535">
        <v>1</v>
      </c>
      <c r="R90" s="535"/>
      <c r="S90" s="535"/>
      <c r="T90" s="535"/>
      <c r="U90" s="535"/>
      <c r="V90" s="535"/>
      <c r="W90" s="535"/>
      <c r="X90" s="535"/>
      <c r="Y90" s="535"/>
      <c r="Z90" s="496">
        <f t="shared" si="6"/>
        <v>1</v>
      </c>
    </row>
    <row r="91" spans="1:26" ht="29.45" customHeight="1" x14ac:dyDescent="0.25">
      <c r="A91" s="543" t="s">
        <v>1744</v>
      </c>
      <c r="B91" s="535" t="s">
        <v>100</v>
      </c>
      <c r="C91" s="487">
        <v>42824</v>
      </c>
      <c r="D91" s="488">
        <v>42845</v>
      </c>
      <c r="E91" s="486">
        <v>21</v>
      </c>
      <c r="F91" s="488">
        <v>42842</v>
      </c>
      <c r="G91" s="486">
        <v>1</v>
      </c>
      <c r="H91" s="539">
        <v>1643</v>
      </c>
      <c r="I91" s="539">
        <v>5000</v>
      </c>
      <c r="J91" s="539">
        <v>657</v>
      </c>
      <c r="K91" s="535"/>
      <c r="L91" s="535"/>
      <c r="M91" s="535"/>
      <c r="N91" s="535"/>
      <c r="O91" s="535"/>
      <c r="P91" s="535">
        <v>1</v>
      </c>
      <c r="Q91" s="535"/>
      <c r="R91" s="535"/>
      <c r="S91" s="535"/>
      <c r="T91" s="535"/>
      <c r="U91" s="535"/>
      <c r="V91" s="535"/>
      <c r="W91" s="535"/>
      <c r="X91" s="535"/>
      <c r="Y91" s="535"/>
      <c r="Z91" s="496">
        <f t="shared" si="6"/>
        <v>1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496">
        <f t="shared" ref="Z92:Z95" si="7">SUM(K92:Y92)</f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539"/>
      <c r="J93" s="539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7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7"/>
        <v>0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496">
        <f t="shared" si="7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SUM(G94:G95)</f>
        <v>0</v>
      </c>
      <c r="H96" s="448">
        <f>SUM(H88:H95)</f>
        <v>6722</v>
      </c>
      <c r="I96" s="448">
        <f t="shared" ref="I96:J96" si="8">SUM(I88:I95)</f>
        <v>12500</v>
      </c>
      <c r="J96" s="448">
        <f t="shared" si="8"/>
        <v>2688</v>
      </c>
      <c r="K96" s="447">
        <f>SUM(K88:K95)</f>
        <v>0</v>
      </c>
      <c r="L96" s="447">
        <f t="shared" ref="L96:Z96" si="9">SUM(L88:L95)</f>
        <v>0</v>
      </c>
      <c r="M96" s="447">
        <f t="shared" si="9"/>
        <v>0</v>
      </c>
      <c r="N96" s="447">
        <f t="shared" si="9"/>
        <v>0</v>
      </c>
      <c r="O96" s="447">
        <f t="shared" si="9"/>
        <v>0</v>
      </c>
      <c r="P96" s="447">
        <f t="shared" si="9"/>
        <v>1</v>
      </c>
      <c r="Q96" s="447">
        <f t="shared" si="9"/>
        <v>3</v>
      </c>
      <c r="R96" s="447">
        <f t="shared" si="9"/>
        <v>0</v>
      </c>
      <c r="S96" s="447">
        <f t="shared" si="9"/>
        <v>0</v>
      </c>
      <c r="T96" s="447">
        <f t="shared" si="9"/>
        <v>0</v>
      </c>
      <c r="U96" s="447">
        <f t="shared" si="9"/>
        <v>0</v>
      </c>
      <c r="V96" s="447">
        <f t="shared" si="9"/>
        <v>0</v>
      </c>
      <c r="W96" s="447">
        <f t="shared" si="9"/>
        <v>0</v>
      </c>
      <c r="X96" s="447">
        <f t="shared" si="9"/>
        <v>0</v>
      </c>
      <c r="Y96" s="447">
        <f t="shared" si="9"/>
        <v>0</v>
      </c>
      <c r="Z96" s="447">
        <f t="shared" si="9"/>
        <v>4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69" t="s">
        <v>1</v>
      </c>
      <c r="B99" s="569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43" t="s">
        <v>1738</v>
      </c>
      <c r="B100" s="535" t="s">
        <v>115</v>
      </c>
      <c r="C100" s="487">
        <v>42690</v>
      </c>
      <c r="D100" s="488">
        <v>42832</v>
      </c>
      <c r="E100" s="486">
        <v>141</v>
      </c>
      <c r="F100" s="488">
        <v>42832</v>
      </c>
      <c r="G100" s="486">
        <v>1</v>
      </c>
      <c r="H100" s="539">
        <f>430*0.9</f>
        <v>387</v>
      </c>
      <c r="I100" s="539">
        <v>0</v>
      </c>
      <c r="J100" s="539">
        <v>0</v>
      </c>
      <c r="K100" s="535"/>
      <c r="L100" s="535"/>
      <c r="M100" s="535"/>
      <c r="N100" s="535"/>
      <c r="O100" s="535"/>
      <c r="P100" s="535">
        <v>1</v>
      </c>
      <c r="Q100" s="535"/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1</v>
      </c>
    </row>
    <row r="101" spans="1:26" s="457" customFormat="1" ht="15" customHeight="1" x14ac:dyDescent="0.25">
      <c r="A101" s="543" t="s">
        <v>1740</v>
      </c>
      <c r="B101" s="535" t="s">
        <v>115</v>
      </c>
      <c r="C101" s="487">
        <v>42446</v>
      </c>
      <c r="D101" s="488">
        <v>42836</v>
      </c>
      <c r="E101" s="486">
        <v>24</v>
      </c>
      <c r="F101" s="488">
        <v>42825</v>
      </c>
      <c r="G101" s="486">
        <v>1</v>
      </c>
      <c r="H101" s="539">
        <v>1693</v>
      </c>
      <c r="I101" s="539">
        <v>0</v>
      </c>
      <c r="J101" s="539">
        <v>677</v>
      </c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>
        <v>1</v>
      </c>
      <c r="W101" s="535"/>
      <c r="X101" s="535"/>
      <c r="Y101" s="452"/>
      <c r="Z101" s="535">
        <f t="shared" ref="Z101:Z107" si="10">SUM(K101:Y101)</f>
        <v>1</v>
      </c>
    </row>
    <row r="102" spans="1:26" s="457" customFormat="1" ht="15" customHeight="1" x14ac:dyDescent="0.25">
      <c r="A102" s="543" t="s">
        <v>1133</v>
      </c>
      <c r="B102" s="535" t="s">
        <v>115</v>
      </c>
      <c r="C102" s="487">
        <v>42787</v>
      </c>
      <c r="D102" s="488">
        <v>42837</v>
      </c>
      <c r="E102" s="486">
        <v>70</v>
      </c>
      <c r="F102" s="488">
        <v>42824</v>
      </c>
      <c r="G102" s="486">
        <v>2</v>
      </c>
      <c r="H102" s="539">
        <v>3286</v>
      </c>
      <c r="I102" s="539">
        <v>0</v>
      </c>
      <c r="J102" s="539">
        <v>1314</v>
      </c>
      <c r="K102" s="535">
        <v>1</v>
      </c>
      <c r="L102" s="535"/>
      <c r="M102" s="535"/>
      <c r="N102" s="535"/>
      <c r="O102" s="535"/>
      <c r="P102" s="535">
        <v>1</v>
      </c>
      <c r="Q102" s="535"/>
      <c r="R102" s="535"/>
      <c r="S102" s="535"/>
      <c r="T102" s="535"/>
      <c r="U102" s="535"/>
      <c r="V102" s="535"/>
      <c r="W102" s="535"/>
      <c r="X102" s="535"/>
      <c r="Y102" s="452"/>
      <c r="Z102" s="535">
        <f t="shared" si="10"/>
        <v>2</v>
      </c>
    </row>
    <row r="103" spans="1:26" s="457" customFormat="1" ht="15" customHeight="1" x14ac:dyDescent="0.25">
      <c r="A103" s="543" t="s">
        <v>1256</v>
      </c>
      <c r="B103" s="535" t="s">
        <v>115</v>
      </c>
      <c r="C103" s="487">
        <v>42835</v>
      </c>
      <c r="D103" s="488">
        <v>42838</v>
      </c>
      <c r="E103" s="486">
        <v>3</v>
      </c>
      <c r="F103" s="488">
        <v>42736</v>
      </c>
      <c r="G103" s="486">
        <v>2</v>
      </c>
      <c r="H103" s="539">
        <v>3286</v>
      </c>
      <c r="I103" s="539">
        <v>0</v>
      </c>
      <c r="J103" s="539">
        <v>1314</v>
      </c>
      <c r="K103" s="535">
        <v>1</v>
      </c>
      <c r="L103" s="535"/>
      <c r="M103" s="535"/>
      <c r="N103" s="535"/>
      <c r="O103" s="535"/>
      <c r="P103" s="535">
        <v>1</v>
      </c>
      <c r="Q103" s="535"/>
      <c r="R103" s="535"/>
      <c r="S103" s="535"/>
      <c r="T103" s="535"/>
      <c r="U103" s="535"/>
      <c r="V103" s="535"/>
      <c r="W103" s="535"/>
      <c r="X103" s="535"/>
      <c r="Y103" s="452"/>
      <c r="Z103" s="535">
        <f t="shared" si="10"/>
        <v>2</v>
      </c>
    </row>
    <row r="104" spans="1:26" s="457" customFormat="1" ht="15" customHeight="1" x14ac:dyDescent="0.25">
      <c r="A104" s="543" t="s">
        <v>1746</v>
      </c>
      <c r="B104" s="535" t="s">
        <v>115</v>
      </c>
      <c r="C104" s="487">
        <v>42825</v>
      </c>
      <c r="D104" s="488">
        <v>42850</v>
      </c>
      <c r="E104" s="486">
        <v>26</v>
      </c>
      <c r="F104" s="488">
        <v>42850</v>
      </c>
      <c r="G104" s="486">
        <v>1</v>
      </c>
      <c r="H104" s="539">
        <v>2174</v>
      </c>
      <c r="I104" s="539">
        <v>0</v>
      </c>
      <c r="J104" s="539">
        <v>444</v>
      </c>
      <c r="K104" s="535"/>
      <c r="L104" s="535"/>
      <c r="M104" s="535"/>
      <c r="N104" s="535"/>
      <c r="O104" s="535"/>
      <c r="P104" s="535"/>
      <c r="Q104" s="535"/>
      <c r="R104" s="535"/>
      <c r="S104" s="535"/>
      <c r="T104" s="535">
        <v>1</v>
      </c>
      <c r="U104" s="535"/>
      <c r="V104" s="535"/>
      <c r="W104" s="535"/>
      <c r="X104" s="535"/>
      <c r="Y104" s="452"/>
      <c r="Z104" s="535">
        <f t="shared" si="10"/>
        <v>1</v>
      </c>
    </row>
    <row r="105" spans="1:26" s="457" customFormat="1" ht="15" customHeight="1" x14ac:dyDescent="0.25">
      <c r="A105" s="538"/>
      <c r="B105" s="535"/>
      <c r="C105" s="487"/>
      <c r="D105" s="488"/>
      <c r="E105" s="486"/>
      <c r="F105" s="488"/>
      <c r="G105" s="486"/>
      <c r="H105" s="539"/>
      <c r="I105" s="539"/>
      <c r="J105" s="539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452"/>
      <c r="Z105" s="535">
        <f t="shared" si="10"/>
        <v>0</v>
      </c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10"/>
        <v>0</v>
      </c>
    </row>
    <row r="107" spans="1:26" s="457" customFormat="1" ht="15" customHeight="1" x14ac:dyDescent="0.25">
      <c r="A107" s="541"/>
      <c r="B107" s="452"/>
      <c r="C107" s="453"/>
      <c r="D107" s="454"/>
      <c r="E107" s="455"/>
      <c r="F107" s="454"/>
      <c r="G107" s="455"/>
      <c r="H107" s="456"/>
      <c r="I107" s="456"/>
      <c r="J107" s="456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535">
        <f t="shared" si="10"/>
        <v>0</v>
      </c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11">SUM(G100:G107)</f>
        <v>7</v>
      </c>
      <c r="H108" s="448">
        <f>SUM(H100:H107)</f>
        <v>10826</v>
      </c>
      <c r="I108" s="448">
        <f>SUM(I100:I107)</f>
        <v>0</v>
      </c>
      <c r="J108" s="448">
        <f>SUM(J100:J107)</f>
        <v>3749</v>
      </c>
      <c r="K108" s="447">
        <f t="shared" si="11"/>
        <v>2</v>
      </c>
      <c r="L108" s="447">
        <f t="shared" si="11"/>
        <v>0</v>
      </c>
      <c r="M108" s="447">
        <f t="shared" si="11"/>
        <v>0</v>
      </c>
      <c r="N108" s="447">
        <f t="shared" si="11"/>
        <v>0</v>
      </c>
      <c r="O108" s="447">
        <f t="shared" si="11"/>
        <v>0</v>
      </c>
      <c r="P108" s="447">
        <f t="shared" si="11"/>
        <v>3</v>
      </c>
      <c r="Q108" s="447">
        <f t="shared" si="11"/>
        <v>0</v>
      </c>
      <c r="R108" s="447">
        <f t="shared" si="11"/>
        <v>0</v>
      </c>
      <c r="S108" s="447">
        <f t="shared" si="11"/>
        <v>0</v>
      </c>
      <c r="T108" s="447">
        <f t="shared" si="11"/>
        <v>1</v>
      </c>
      <c r="U108" s="447">
        <f t="shared" si="11"/>
        <v>0</v>
      </c>
      <c r="V108" s="447">
        <f t="shared" si="11"/>
        <v>1</v>
      </c>
      <c r="W108" s="447">
        <f t="shared" si="11"/>
        <v>0</v>
      </c>
      <c r="X108" s="447"/>
      <c r="Y108" s="447"/>
      <c r="Z108" s="447">
        <f t="shared" si="11"/>
        <v>7</v>
      </c>
    </row>
    <row r="110" spans="1:26" x14ac:dyDescent="0.25">
      <c r="A110" s="739" t="s">
        <v>1229</v>
      </c>
      <c r="B110" s="739"/>
    </row>
    <row r="111" spans="1:26" ht="30" x14ac:dyDescent="0.25">
      <c r="A111" s="569" t="s">
        <v>1</v>
      </c>
      <c r="B111" s="569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43" t="s">
        <v>1739</v>
      </c>
      <c r="B112" s="535" t="s">
        <v>115</v>
      </c>
      <c r="C112" s="487">
        <v>42829</v>
      </c>
      <c r="D112" s="488">
        <v>42832</v>
      </c>
      <c r="E112" s="486">
        <v>3</v>
      </c>
      <c r="F112" s="488">
        <v>42832</v>
      </c>
      <c r="G112" s="486">
        <v>2</v>
      </c>
      <c r="H112" s="539">
        <v>-3554</v>
      </c>
      <c r="I112" s="539">
        <v>0</v>
      </c>
      <c r="J112" s="539">
        <v>-1422</v>
      </c>
      <c r="K112" s="535"/>
      <c r="L112" s="535"/>
      <c r="M112" s="535"/>
      <c r="N112" s="535"/>
      <c r="O112" s="535"/>
      <c r="P112" s="535"/>
      <c r="Q112" s="535">
        <v>-2</v>
      </c>
      <c r="R112" s="535"/>
      <c r="S112" s="535"/>
      <c r="T112" s="535"/>
      <c r="U112" s="535"/>
      <c r="V112" s="535"/>
      <c r="W112" s="535"/>
      <c r="X112" s="535"/>
      <c r="Y112" s="535"/>
      <c r="Z112" s="535">
        <f t="shared" ref="Z112:Z120" si="12">SUM(K112:Y112)</f>
        <v>-2</v>
      </c>
    </row>
    <row r="113" spans="1:26" ht="32.450000000000003" customHeight="1" x14ac:dyDescent="0.25">
      <c r="A113" s="543" t="s">
        <v>1745</v>
      </c>
      <c r="B113" s="535" t="s">
        <v>115</v>
      </c>
      <c r="C113" s="487">
        <v>42844</v>
      </c>
      <c r="D113" s="488">
        <v>42849</v>
      </c>
      <c r="E113" s="486">
        <v>5</v>
      </c>
      <c r="F113" s="488">
        <v>42849</v>
      </c>
      <c r="G113" s="486">
        <v>5</v>
      </c>
      <c r="H113" s="539">
        <v>-5839</v>
      </c>
      <c r="I113" s="539">
        <v>0</v>
      </c>
      <c r="J113" s="539">
        <v>-1371</v>
      </c>
      <c r="K113" s="535">
        <v>-1</v>
      </c>
      <c r="L113" s="535">
        <v>-1</v>
      </c>
      <c r="M113" s="535">
        <v>-1</v>
      </c>
      <c r="N113" s="535"/>
      <c r="O113" s="535">
        <v>-1</v>
      </c>
      <c r="P113" s="535"/>
      <c r="Q113" s="535"/>
      <c r="R113" s="535">
        <v>-1</v>
      </c>
      <c r="S113" s="535"/>
      <c r="T113" s="535"/>
      <c r="U113" s="535"/>
      <c r="V113" s="535"/>
      <c r="W113" s="535"/>
      <c r="X113" s="535"/>
      <c r="Y113" s="535"/>
      <c r="Z113" s="535">
        <f t="shared" si="12"/>
        <v>-5</v>
      </c>
    </row>
    <row r="114" spans="1:26" ht="15" customHeight="1" x14ac:dyDescent="0.25">
      <c r="A114" s="543" t="s">
        <v>1746</v>
      </c>
      <c r="B114" s="535" t="s">
        <v>115</v>
      </c>
      <c r="C114" s="487">
        <v>42825</v>
      </c>
      <c r="D114" s="488">
        <v>42850</v>
      </c>
      <c r="E114" s="486">
        <v>26</v>
      </c>
      <c r="F114" s="488">
        <v>42850</v>
      </c>
      <c r="G114" s="486">
        <v>1</v>
      </c>
      <c r="H114" s="539">
        <v>-2174</v>
      </c>
      <c r="I114" s="539">
        <v>0</v>
      </c>
      <c r="J114" s="539">
        <v>-444</v>
      </c>
      <c r="K114" s="535"/>
      <c r="L114" s="535"/>
      <c r="M114" s="535"/>
      <c r="N114" s="535"/>
      <c r="O114" s="535"/>
      <c r="P114" s="535"/>
      <c r="Q114" s="535">
        <v>-1</v>
      </c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2"/>
        <v>-1</v>
      </c>
    </row>
    <row r="115" spans="1:26" s="457" customFormat="1" ht="15" customHeight="1" x14ac:dyDescent="0.25">
      <c r="A115" s="543" t="s">
        <v>226</v>
      </c>
      <c r="B115" s="535" t="s">
        <v>115</v>
      </c>
      <c r="C115" s="487"/>
      <c r="D115" s="488"/>
      <c r="E115" s="486"/>
      <c r="F115" s="488">
        <v>42853</v>
      </c>
      <c r="G115" s="486">
        <v>1</v>
      </c>
      <c r="H115" s="542">
        <v>-865</v>
      </c>
      <c r="I115" s="539"/>
      <c r="J115" s="539">
        <v>-346</v>
      </c>
      <c r="K115" s="535"/>
      <c r="L115" s="535"/>
      <c r="M115" s="535"/>
      <c r="N115" s="535"/>
      <c r="O115" s="535"/>
      <c r="P115" s="535"/>
      <c r="Q115" s="535"/>
      <c r="R115" s="535"/>
      <c r="S115" s="535">
        <v>-1</v>
      </c>
      <c r="T115" s="535"/>
      <c r="U115" s="535"/>
      <c r="V115" s="535"/>
      <c r="W115" s="535"/>
      <c r="X115" s="535"/>
      <c r="Y115" s="535"/>
      <c r="Z115" s="535">
        <f t="shared" si="12"/>
        <v>-1</v>
      </c>
    </row>
    <row r="116" spans="1:26" ht="15" customHeight="1" x14ac:dyDescent="0.25">
      <c r="A116" s="531"/>
      <c r="B116" s="535"/>
      <c r="C116" s="487"/>
      <c r="D116" s="488"/>
      <c r="E116" s="486"/>
      <c r="F116" s="488"/>
      <c r="G116" s="486"/>
      <c r="H116" s="542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2"/>
        <v>0</v>
      </c>
    </row>
    <row r="117" spans="1:26" ht="15" customHeight="1" x14ac:dyDescent="0.25">
      <c r="A117" s="531"/>
      <c r="B117" s="535"/>
      <c r="C117" s="487"/>
      <c r="D117" s="488"/>
      <c r="E117" s="486"/>
      <c r="F117" s="488"/>
      <c r="G117" s="486"/>
      <c r="H117" s="542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2"/>
        <v>0</v>
      </c>
    </row>
    <row r="118" spans="1:26" s="457" customFormat="1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2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2"/>
        <v>0</v>
      </c>
    </row>
    <row r="120" spans="1:26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2"/>
        <v>0</v>
      </c>
    </row>
    <row r="121" spans="1:26" ht="15" customHeight="1" x14ac:dyDescent="0.25">
      <c r="A121" s="443" t="s">
        <v>1230</v>
      </c>
      <c r="B121" s="444"/>
      <c r="C121" s="445"/>
      <c r="D121" s="446"/>
      <c r="E121" s="447"/>
      <c r="F121" s="446"/>
      <c r="G121" s="447">
        <f>SUM(G112:G120)</f>
        <v>9</v>
      </c>
      <c r="H121" s="448">
        <f>SUM(H112:H120)</f>
        <v>-12432</v>
      </c>
      <c r="I121" s="448">
        <f t="shared" ref="I121:J121" si="13">SUM(I112:I120)</f>
        <v>0</v>
      </c>
      <c r="J121" s="448">
        <f t="shared" si="13"/>
        <v>-3583</v>
      </c>
      <c r="K121" s="447">
        <f>SUM(K112:K120)</f>
        <v>-1</v>
      </c>
      <c r="L121" s="447">
        <f t="shared" ref="L121:Z121" si="14">SUM(L112:L120)</f>
        <v>-1</v>
      </c>
      <c r="M121" s="447">
        <f t="shared" si="14"/>
        <v>-1</v>
      </c>
      <c r="N121" s="447">
        <f t="shared" si="14"/>
        <v>0</v>
      </c>
      <c r="O121" s="447">
        <f t="shared" si="14"/>
        <v>-1</v>
      </c>
      <c r="P121" s="447">
        <f t="shared" si="14"/>
        <v>0</v>
      </c>
      <c r="Q121" s="447">
        <f t="shared" si="14"/>
        <v>-3</v>
      </c>
      <c r="R121" s="447">
        <f t="shared" si="14"/>
        <v>-1</v>
      </c>
      <c r="S121" s="447">
        <f t="shared" si="14"/>
        <v>-1</v>
      </c>
      <c r="T121" s="447">
        <f t="shared" si="14"/>
        <v>0</v>
      </c>
      <c r="U121" s="447">
        <f t="shared" si="14"/>
        <v>0</v>
      </c>
      <c r="V121" s="447">
        <f t="shared" si="14"/>
        <v>0</v>
      </c>
      <c r="W121" s="447">
        <f t="shared" si="14"/>
        <v>0</v>
      </c>
      <c r="X121" s="447">
        <f t="shared" si="14"/>
        <v>0</v>
      </c>
      <c r="Y121" s="447">
        <f t="shared" si="14"/>
        <v>0</v>
      </c>
      <c r="Z121" s="447">
        <f t="shared" si="14"/>
        <v>-9</v>
      </c>
    </row>
    <row r="123" spans="1:26" x14ac:dyDescent="0.25">
      <c r="A123" s="739" t="s">
        <v>1231</v>
      </c>
      <c r="B123" s="739"/>
    </row>
    <row r="124" spans="1:26" ht="30" x14ac:dyDescent="0.25">
      <c r="A124" s="569" t="s">
        <v>1</v>
      </c>
      <c r="B124" s="569" t="s">
        <v>59</v>
      </c>
      <c r="C124" s="425"/>
      <c r="D124" s="425"/>
      <c r="E124" s="425"/>
      <c r="F124" s="426"/>
      <c r="G124" s="432" t="s">
        <v>1225</v>
      </c>
      <c r="H124" s="427" t="s">
        <v>1224</v>
      </c>
      <c r="I124" s="427" t="s">
        <v>1498</v>
      </c>
      <c r="J124" s="427" t="s">
        <v>94</v>
      </c>
      <c r="K124" s="424" t="s">
        <v>681</v>
      </c>
      <c r="L124" s="424" t="s">
        <v>1496</v>
      </c>
      <c r="M124" s="424" t="s">
        <v>1497</v>
      </c>
      <c r="N124" s="424" t="s">
        <v>682</v>
      </c>
      <c r="O124" s="424" t="s">
        <v>683</v>
      </c>
      <c r="P124" s="424" t="s">
        <v>87</v>
      </c>
      <c r="Q124" s="424" t="s">
        <v>684</v>
      </c>
      <c r="R124" s="424" t="s">
        <v>685</v>
      </c>
      <c r="S124" s="424" t="s">
        <v>690</v>
      </c>
      <c r="T124" s="424" t="s">
        <v>686</v>
      </c>
      <c r="U124" s="424" t="s">
        <v>687</v>
      </c>
      <c r="V124" s="424" t="s">
        <v>688</v>
      </c>
      <c r="W124" s="424" t="s">
        <v>689</v>
      </c>
      <c r="X124" s="424" t="s">
        <v>138</v>
      </c>
      <c r="Y124" s="424" t="s">
        <v>1385</v>
      </c>
      <c r="Z124" s="424" t="s">
        <v>1238</v>
      </c>
    </row>
    <row r="125" spans="1:26" ht="15" customHeight="1" x14ac:dyDescent="0.25">
      <c r="A125" s="538"/>
      <c r="B125" s="535"/>
      <c r="C125" s="487"/>
      <c r="D125" s="488"/>
      <c r="E125" s="486"/>
      <c r="F125" s="488"/>
      <c r="G125" s="486"/>
      <c r="H125" s="539"/>
      <c r="I125" s="539"/>
      <c r="J125" s="539"/>
      <c r="K125" s="535"/>
      <c r="L125" s="535"/>
      <c r="M125" s="535"/>
      <c r="N125" s="535"/>
      <c r="O125" s="535"/>
      <c r="P125" s="535"/>
      <c r="Q125" s="535"/>
      <c r="R125" s="535"/>
      <c r="S125" s="535"/>
      <c r="T125" s="535"/>
      <c r="U125" s="535"/>
      <c r="V125" s="535"/>
      <c r="W125" s="535"/>
      <c r="X125" s="535"/>
      <c r="Y125" s="535"/>
      <c r="Z125" s="535">
        <f t="shared" ref="Z125:Z127" si="15">SUM(K125:Y125)</f>
        <v>0</v>
      </c>
    </row>
    <row r="126" spans="1:26" ht="15" customHeight="1" x14ac:dyDescent="0.25">
      <c r="A126" s="531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5"/>
        <v>0</v>
      </c>
    </row>
    <row r="127" spans="1:26" ht="15" customHeight="1" x14ac:dyDescent="0.25">
      <c r="A127" s="538"/>
      <c r="B127" s="535"/>
      <c r="C127" s="487"/>
      <c r="D127" s="488"/>
      <c r="E127" s="486"/>
      <c r="F127" s="488"/>
      <c r="G127" s="486"/>
      <c r="H127" s="539"/>
      <c r="I127" s="539"/>
      <c r="J127" s="539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>
        <f t="shared" si="15"/>
        <v>0</v>
      </c>
    </row>
    <row r="128" spans="1:26" ht="15" customHeight="1" x14ac:dyDescent="0.25">
      <c r="A128" s="443" t="s">
        <v>1230</v>
      </c>
      <c r="B128" s="444"/>
      <c r="C128" s="445"/>
      <c r="D128" s="446"/>
      <c r="E128" s="447"/>
      <c r="F128" s="446"/>
      <c r="G128" s="447">
        <f>SUM(G125:G127)</f>
        <v>0</v>
      </c>
      <c r="H128" s="448">
        <f>SUM(H125:H127)</f>
        <v>0</v>
      </c>
      <c r="I128" s="448">
        <f t="shared" ref="I128:Z128" si="16">SUM(I125:I127)</f>
        <v>0</v>
      </c>
      <c r="J128" s="448">
        <f t="shared" si="16"/>
        <v>0</v>
      </c>
      <c r="K128" s="447">
        <f t="shared" si="16"/>
        <v>0</v>
      </c>
      <c r="L128" s="447">
        <f t="shared" si="16"/>
        <v>0</v>
      </c>
      <c r="M128" s="447">
        <f t="shared" si="16"/>
        <v>0</v>
      </c>
      <c r="N128" s="447">
        <f t="shared" si="16"/>
        <v>0</v>
      </c>
      <c r="O128" s="447">
        <f t="shared" si="16"/>
        <v>0</v>
      </c>
      <c r="P128" s="447">
        <f t="shared" si="16"/>
        <v>0</v>
      </c>
      <c r="Q128" s="447">
        <f t="shared" si="16"/>
        <v>0</v>
      </c>
      <c r="R128" s="447">
        <f t="shared" si="16"/>
        <v>0</v>
      </c>
      <c r="S128" s="447">
        <f t="shared" si="16"/>
        <v>0</v>
      </c>
      <c r="T128" s="447">
        <f t="shared" si="16"/>
        <v>0</v>
      </c>
      <c r="U128" s="447">
        <f t="shared" si="16"/>
        <v>0</v>
      </c>
      <c r="V128" s="447">
        <f t="shared" si="16"/>
        <v>0</v>
      </c>
      <c r="W128" s="447">
        <f t="shared" si="16"/>
        <v>0</v>
      </c>
      <c r="X128" s="447"/>
      <c r="Y128" s="447"/>
      <c r="Z128" s="447">
        <f t="shared" si="16"/>
        <v>0</v>
      </c>
    </row>
    <row r="129" spans="1:26" ht="15.75" thickBot="1" x14ac:dyDescent="0.3"/>
    <row r="130" spans="1:26" ht="15.75" thickBot="1" x14ac:dyDescent="0.3">
      <c r="A130" s="436" t="s">
        <v>1232</v>
      </c>
      <c r="B130" s="434"/>
      <c r="C130" s="434"/>
      <c r="D130" s="434"/>
      <c r="E130" s="434"/>
      <c r="F130" s="434"/>
      <c r="G130" s="437">
        <f t="shared" ref="G130:Y130" si="17">G84+G96+G108+G121+G128</f>
        <v>18</v>
      </c>
      <c r="H130" s="438">
        <f t="shared" si="17"/>
        <v>16839.899999999998</v>
      </c>
      <c r="I130" s="438">
        <f t="shared" si="17"/>
        <v>12500</v>
      </c>
      <c r="J130" s="438">
        <f t="shared" si="17"/>
        <v>47854</v>
      </c>
      <c r="K130" s="450">
        <f t="shared" si="17"/>
        <v>1</v>
      </c>
      <c r="L130" s="450">
        <f t="shared" si="17"/>
        <v>-1</v>
      </c>
      <c r="M130" s="450">
        <f t="shared" si="17"/>
        <v>-1</v>
      </c>
      <c r="N130" s="450">
        <f t="shared" si="17"/>
        <v>0</v>
      </c>
      <c r="O130" s="450">
        <f t="shared" si="17"/>
        <v>-1</v>
      </c>
      <c r="P130" s="450">
        <f t="shared" si="17"/>
        <v>4</v>
      </c>
      <c r="Q130" s="450">
        <f t="shared" si="17"/>
        <v>0</v>
      </c>
      <c r="R130" s="450">
        <f t="shared" si="17"/>
        <v>-1</v>
      </c>
      <c r="S130" s="450">
        <f t="shared" si="17"/>
        <v>-1</v>
      </c>
      <c r="T130" s="450">
        <f t="shared" si="17"/>
        <v>1</v>
      </c>
      <c r="U130" s="450">
        <f t="shared" si="17"/>
        <v>0</v>
      </c>
      <c r="V130" s="450">
        <f t="shared" si="17"/>
        <v>1</v>
      </c>
      <c r="W130" s="450">
        <f t="shared" si="17"/>
        <v>0</v>
      </c>
      <c r="X130" s="450">
        <f t="shared" si="17"/>
        <v>0</v>
      </c>
      <c r="Y130" s="450">
        <f t="shared" si="17"/>
        <v>0</v>
      </c>
      <c r="Z130" s="450">
        <f>Z84+Z96+Z108+Z121+Z128</f>
        <v>2</v>
      </c>
    </row>
    <row r="131" spans="1:26" ht="15.75" thickBot="1" x14ac:dyDescent="0.3">
      <c r="A131" s="436" t="s">
        <v>64</v>
      </c>
      <c r="B131" s="434"/>
      <c r="C131" s="434"/>
      <c r="D131" s="434"/>
      <c r="E131" s="434"/>
      <c r="F131" s="434"/>
      <c r="G131" s="437"/>
      <c r="H131" s="438"/>
      <c r="I131" s="438"/>
      <c r="J131" s="438"/>
    </row>
    <row r="132" spans="1:26" ht="15.75" thickBot="1" x14ac:dyDescent="0.3">
      <c r="A132" s="439" t="s">
        <v>452</v>
      </c>
      <c r="B132" s="440"/>
      <c r="C132" s="440"/>
      <c r="D132" s="440"/>
      <c r="E132" s="440"/>
      <c r="F132" s="440"/>
      <c r="G132" s="441"/>
      <c r="H132" s="442">
        <f>H130-H131</f>
        <v>16839.899999999998</v>
      </c>
      <c r="I132" s="442"/>
      <c r="J132" s="442"/>
    </row>
    <row r="135" spans="1:26" x14ac:dyDescent="0.25">
      <c r="H135" s="435">
        <f>H84+H108+H121+H128</f>
        <v>10117.899999999998</v>
      </c>
      <c r="I135" s="435"/>
      <c r="J135" s="435"/>
    </row>
  </sheetData>
  <mergeCells count="8">
    <mergeCell ref="G3:H3"/>
    <mergeCell ref="A86:B86"/>
    <mergeCell ref="A98:B98"/>
    <mergeCell ref="A110:B110"/>
    <mergeCell ref="A123:B123"/>
    <mergeCell ref="A3:B3"/>
    <mergeCell ref="C3:D3"/>
    <mergeCell ref="E3:F3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39"/>
  <sheetViews>
    <sheetView topLeftCell="A94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1355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70" t="s">
        <v>1</v>
      </c>
      <c r="B4" s="57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0" t="s">
        <v>1307</v>
      </c>
      <c r="B5" s="530" t="s">
        <v>61</v>
      </c>
      <c r="C5" s="531">
        <v>1</v>
      </c>
      <c r="D5" s="542">
        <v>430</v>
      </c>
      <c r="E5" s="535">
        <v>1</v>
      </c>
      <c r="F5" s="542">
        <v>890</v>
      </c>
      <c r="G5" s="535">
        <f t="shared" ref="G5:H35" si="0">E5-C5</f>
        <v>0</v>
      </c>
      <c r="H5" s="542">
        <f t="shared" si="0"/>
        <v>460</v>
      </c>
      <c r="I5" s="542"/>
      <c r="J5" s="542">
        <v>356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7" si="1">SUM(K5:Y5)</f>
        <v>0</v>
      </c>
    </row>
    <row r="6" spans="1:26" ht="14.45" customHeight="1" x14ac:dyDescent="0.25">
      <c r="A6" s="531" t="s">
        <v>1551</v>
      </c>
      <c r="B6" s="531" t="s">
        <v>115</v>
      </c>
      <c r="C6" s="531">
        <v>5</v>
      </c>
      <c r="D6" s="542">
        <v>4100</v>
      </c>
      <c r="E6" s="535">
        <v>5</v>
      </c>
      <c r="F6" s="542">
        <v>3666</v>
      </c>
      <c r="G6" s="535">
        <f t="shared" si="0"/>
        <v>0</v>
      </c>
      <c r="H6" s="542">
        <f t="shared" si="0"/>
        <v>-434</v>
      </c>
      <c r="I6" s="542"/>
      <c r="J6" s="542">
        <v>1466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1" t="s">
        <v>281</v>
      </c>
      <c r="B7" s="530" t="s">
        <v>61</v>
      </c>
      <c r="C7" s="531">
        <v>1</v>
      </c>
      <c r="D7" s="542">
        <v>890</v>
      </c>
      <c r="E7" s="535">
        <v>1</v>
      </c>
      <c r="F7" s="542">
        <v>917</v>
      </c>
      <c r="G7" s="535">
        <f t="shared" si="0"/>
        <v>0</v>
      </c>
      <c r="H7" s="542">
        <f t="shared" si="0"/>
        <v>27</v>
      </c>
      <c r="I7" s="542"/>
      <c r="J7" s="542">
        <v>367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1" t="s">
        <v>1292</v>
      </c>
      <c r="B8" s="530" t="s">
        <v>115</v>
      </c>
      <c r="C8" s="531">
        <v>5</v>
      </c>
      <c r="D8" s="542">
        <v>5186</v>
      </c>
      <c r="E8" s="535">
        <v>5</v>
      </c>
      <c r="F8" s="542">
        <v>5340</v>
      </c>
      <c r="G8" s="535">
        <f t="shared" ref="G8:G14" si="2">E8-C8</f>
        <v>0</v>
      </c>
      <c r="H8" s="542">
        <f t="shared" ref="H8:H14" si="3">F8-D8</f>
        <v>154</v>
      </c>
      <c r="I8" s="542"/>
      <c r="J8" s="542">
        <v>2136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0" t="s">
        <v>1552</v>
      </c>
      <c r="B9" s="530" t="s">
        <v>61</v>
      </c>
      <c r="C9" s="531">
        <v>7</v>
      </c>
      <c r="D9" s="542">
        <v>11501</v>
      </c>
      <c r="E9" s="535">
        <v>7</v>
      </c>
      <c r="F9" s="542">
        <v>11851</v>
      </c>
      <c r="G9" s="535">
        <f t="shared" si="2"/>
        <v>0</v>
      </c>
      <c r="H9" s="542">
        <f t="shared" si="3"/>
        <v>350</v>
      </c>
      <c r="I9" s="542"/>
      <c r="J9" s="542">
        <v>4740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0" t="s">
        <v>1312</v>
      </c>
      <c r="B10" s="530" t="s">
        <v>61</v>
      </c>
      <c r="C10" s="530">
        <v>4</v>
      </c>
      <c r="D10" s="542">
        <v>6572</v>
      </c>
      <c r="E10" s="535">
        <v>4</v>
      </c>
      <c r="F10" s="542">
        <v>6772</v>
      </c>
      <c r="G10" s="535">
        <f t="shared" si="2"/>
        <v>0</v>
      </c>
      <c r="H10" s="542">
        <f t="shared" si="3"/>
        <v>200</v>
      </c>
      <c r="I10" s="542"/>
      <c r="J10" s="542">
        <v>2709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0" t="s">
        <v>1556</v>
      </c>
      <c r="B11" s="530" t="s">
        <v>61</v>
      </c>
      <c r="C11" s="531">
        <v>1</v>
      </c>
      <c r="D11" s="542">
        <v>1643</v>
      </c>
      <c r="E11" s="535">
        <v>1</v>
      </c>
      <c r="F11" s="542">
        <v>1693</v>
      </c>
      <c r="G11" s="535">
        <f t="shared" si="2"/>
        <v>0</v>
      </c>
      <c r="H11" s="542">
        <f t="shared" si="3"/>
        <v>50</v>
      </c>
      <c r="I11" s="542"/>
      <c r="J11" s="542">
        <v>677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0" t="s">
        <v>330</v>
      </c>
      <c r="B12" s="530" t="s">
        <v>61</v>
      </c>
      <c r="C12" s="531">
        <v>9</v>
      </c>
      <c r="D12" s="542">
        <v>10364</v>
      </c>
      <c r="E12" s="535">
        <v>9</v>
      </c>
      <c r="F12" s="542">
        <v>10416</v>
      </c>
      <c r="G12" s="535">
        <f t="shared" si="2"/>
        <v>0</v>
      </c>
      <c r="H12" s="542">
        <f t="shared" si="3"/>
        <v>52</v>
      </c>
      <c r="I12" s="542"/>
      <c r="J12" s="542">
        <v>4000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3" t="s">
        <v>273</v>
      </c>
      <c r="B13" s="531" t="s">
        <v>61</v>
      </c>
      <c r="C13" s="531">
        <v>11</v>
      </c>
      <c r="D13" s="542">
        <v>18073</v>
      </c>
      <c r="E13" s="535">
        <v>11</v>
      </c>
      <c r="F13" s="542">
        <v>18623</v>
      </c>
      <c r="G13" s="535">
        <f t="shared" si="2"/>
        <v>0</v>
      </c>
      <c r="H13" s="542">
        <f t="shared" si="3"/>
        <v>550</v>
      </c>
      <c r="I13" s="542"/>
      <c r="J13" s="542">
        <v>4244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1"/>
      <c r="B14" s="530"/>
      <c r="C14" s="531"/>
      <c r="D14" s="542"/>
      <c r="E14" s="535"/>
      <c r="F14" s="542"/>
      <c r="G14" s="535">
        <f t="shared" si="2"/>
        <v>0</v>
      </c>
      <c r="H14" s="542">
        <f t="shared" si="3"/>
        <v>0</v>
      </c>
      <c r="I14" s="542"/>
      <c r="J14" s="542" t="s">
        <v>561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1"/>
      <c r="B15" s="530"/>
      <c r="C15" s="531"/>
      <c r="D15" s="542"/>
      <c r="E15" s="535"/>
      <c r="F15" s="542"/>
      <c r="G15" s="535">
        <f t="shared" si="0"/>
        <v>0</v>
      </c>
      <c r="H15" s="542">
        <f t="shared" si="0"/>
        <v>0</v>
      </c>
      <c r="I15" s="542"/>
      <c r="J15" s="542" t="s">
        <v>561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5"/>
      <c r="B16" s="530"/>
      <c r="C16" s="531"/>
      <c r="D16" s="542"/>
      <c r="E16" s="535"/>
      <c r="F16" s="542"/>
      <c r="G16" s="535">
        <f t="shared" si="0"/>
        <v>0</v>
      </c>
      <c r="H16" s="542">
        <f t="shared" si="0"/>
        <v>0</v>
      </c>
      <c r="I16" s="542"/>
      <c r="J16" s="542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5"/>
      <c r="B17" s="530"/>
      <c r="C17" s="531"/>
      <c r="D17" s="542"/>
      <c r="E17" s="535"/>
      <c r="F17" s="542"/>
      <c r="G17" s="535">
        <f t="shared" si="0"/>
        <v>0</v>
      </c>
      <c r="H17" s="542">
        <f t="shared" si="0"/>
        <v>0</v>
      </c>
      <c r="I17" s="542"/>
      <c r="J17" s="542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1"/>
      <c r="B18" s="531"/>
      <c r="C18" s="531"/>
      <c r="D18" s="542"/>
      <c r="E18" s="535"/>
      <c r="F18" s="542"/>
      <c r="G18" s="535">
        <f t="shared" si="0"/>
        <v>0</v>
      </c>
      <c r="H18" s="542">
        <f t="shared" si="0"/>
        <v>0</v>
      </c>
      <c r="I18" s="542"/>
      <c r="J18" s="542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0"/>
      <c r="B19" s="530"/>
      <c r="C19" s="531"/>
      <c r="D19" s="542"/>
      <c r="E19" s="535"/>
      <c r="F19" s="542"/>
      <c r="G19" s="535">
        <f t="shared" si="0"/>
        <v>0</v>
      </c>
      <c r="H19" s="542">
        <f t="shared" si="0"/>
        <v>0</v>
      </c>
      <c r="I19" s="542"/>
      <c r="J19" s="542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hidden="1" customHeight="1" x14ac:dyDescent="0.25">
      <c r="A20" s="531"/>
      <c r="B20" s="530"/>
      <c r="C20" s="531"/>
      <c r="D20" s="542"/>
      <c r="E20" s="535"/>
      <c r="F20" s="542"/>
      <c r="G20" s="535">
        <f t="shared" si="0"/>
        <v>0</v>
      </c>
      <c r="H20" s="542">
        <f t="shared" si="0"/>
        <v>0</v>
      </c>
      <c r="I20" s="542"/>
      <c r="J20" s="542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hidden="1" customHeight="1" x14ac:dyDescent="0.25">
      <c r="A21" s="531"/>
      <c r="B21" s="530"/>
      <c r="C21" s="531"/>
      <c r="D21" s="542"/>
      <c r="E21" s="535"/>
      <c r="F21" s="542"/>
      <c r="G21" s="535">
        <f t="shared" si="0"/>
        <v>0</v>
      </c>
      <c r="H21" s="542">
        <f t="shared" si="0"/>
        <v>0</v>
      </c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hidden="1" customHeight="1" x14ac:dyDescent="0.25">
      <c r="A22" s="530"/>
      <c r="B22" s="530"/>
      <c r="C22" s="531"/>
      <c r="D22" s="542"/>
      <c r="E22" s="535"/>
      <c r="F22" s="542"/>
      <c r="G22" s="535">
        <f t="shared" si="0"/>
        <v>0</v>
      </c>
      <c r="H22" s="542">
        <f t="shared" si="0"/>
        <v>0</v>
      </c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hidden="1" customHeight="1" x14ac:dyDescent="0.25">
      <c r="A23" s="530"/>
      <c r="B23" s="530"/>
      <c r="C23" s="531"/>
      <c r="D23" s="542"/>
      <c r="E23" s="535"/>
      <c r="F23" s="542"/>
      <c r="G23" s="535">
        <f t="shared" si="0"/>
        <v>0</v>
      </c>
      <c r="H23" s="542">
        <f t="shared" si="0"/>
        <v>0</v>
      </c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hidden="1" customHeight="1" x14ac:dyDescent="0.25">
      <c r="A24" s="530"/>
      <c r="B24" s="530"/>
      <c r="C24" s="531"/>
      <c r="D24" s="542"/>
      <c r="E24" s="535"/>
      <c r="F24" s="542"/>
      <c r="G24" s="535">
        <f t="shared" si="0"/>
        <v>0</v>
      </c>
      <c r="H24" s="542">
        <f t="shared" si="0"/>
        <v>0</v>
      </c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hidden="1" customHeight="1" x14ac:dyDescent="0.25">
      <c r="A25" s="530"/>
      <c r="B25" s="530"/>
      <c r="C25" s="531"/>
      <c r="D25" s="542"/>
      <c r="E25" s="535"/>
      <c r="F25" s="542"/>
      <c r="G25" s="535">
        <f t="shared" si="0"/>
        <v>0</v>
      </c>
      <c r="H25" s="542">
        <f t="shared" si="0"/>
        <v>0</v>
      </c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hidden="1" customHeight="1" x14ac:dyDescent="0.25">
      <c r="A26" s="531"/>
      <c r="B26" s="530"/>
      <c r="C26" s="531"/>
      <c r="D26" s="542"/>
      <c r="E26" s="535"/>
      <c r="F26" s="542"/>
      <c r="G26" s="535">
        <f t="shared" si="0"/>
        <v>0</v>
      </c>
      <c r="H26" s="542">
        <f t="shared" si="0"/>
        <v>0</v>
      </c>
      <c r="I26" s="542"/>
      <c r="J26" s="542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1"/>
        <v>0</v>
      </c>
    </row>
    <row r="27" spans="1:26" ht="14.45" hidden="1" customHeight="1" x14ac:dyDescent="0.25">
      <c r="A27" s="536"/>
      <c r="B27" s="530"/>
      <c r="C27" s="531"/>
      <c r="D27" s="542"/>
      <c r="E27" s="535"/>
      <c r="F27" s="542"/>
      <c r="G27" s="535">
        <f t="shared" si="0"/>
        <v>0</v>
      </c>
      <c r="H27" s="542">
        <f t="shared" si="0"/>
        <v>0</v>
      </c>
      <c r="I27" s="542"/>
      <c r="J27" s="542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hidden="1" customHeight="1" x14ac:dyDescent="0.25">
      <c r="A28" s="531"/>
      <c r="B28" s="530"/>
      <c r="C28" s="531"/>
      <c r="D28" s="542"/>
      <c r="E28" s="535"/>
      <c r="F28" s="542"/>
      <c r="G28" s="535">
        <f t="shared" si="0"/>
        <v>0</v>
      </c>
      <c r="H28" s="542">
        <f t="shared" si="0"/>
        <v>0</v>
      </c>
      <c r="I28" s="542"/>
      <c r="J28" s="542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hidden="1" customHeight="1" x14ac:dyDescent="0.25">
      <c r="A29" s="531"/>
      <c r="B29" s="530"/>
      <c r="C29" s="531"/>
      <c r="D29" s="542"/>
      <c r="E29" s="535"/>
      <c r="F29" s="542"/>
      <c r="G29" s="535">
        <f t="shared" si="0"/>
        <v>0</v>
      </c>
      <c r="H29" s="542">
        <f t="shared" si="0"/>
        <v>0</v>
      </c>
      <c r="I29" s="542"/>
      <c r="J29" s="542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hidden="1" customHeight="1" x14ac:dyDescent="0.25">
      <c r="A30" s="531"/>
      <c r="B30" s="530"/>
      <c r="C30" s="531"/>
      <c r="D30" s="542"/>
      <c r="E30" s="535"/>
      <c r="F30" s="542"/>
      <c r="G30" s="535">
        <f t="shared" si="0"/>
        <v>0</v>
      </c>
      <c r="H30" s="542">
        <f t="shared" si="0"/>
        <v>0</v>
      </c>
      <c r="I30" s="542"/>
      <c r="J30" s="542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hidden="1" customHeight="1" x14ac:dyDescent="0.25">
      <c r="A31" s="531"/>
      <c r="B31" s="530"/>
      <c r="C31" s="531"/>
      <c r="D31" s="542"/>
      <c r="E31" s="535"/>
      <c r="F31" s="542"/>
      <c r="G31" s="535">
        <f t="shared" si="0"/>
        <v>0</v>
      </c>
      <c r="H31" s="542">
        <f t="shared" si="0"/>
        <v>0</v>
      </c>
      <c r="I31" s="542"/>
      <c r="J31" s="542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hidden="1" customHeight="1" x14ac:dyDescent="0.25">
      <c r="A32" s="531"/>
      <c r="B32" s="530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hidden="1" customHeight="1" x14ac:dyDescent="0.25">
      <c r="A33" s="531"/>
      <c r="B33" s="530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531"/>
      <c r="B34" s="530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531"/>
      <c r="B35" s="530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hidden="1" customHeight="1" x14ac:dyDescent="0.25">
      <c r="A36" s="531"/>
      <c r="B36" s="530"/>
      <c r="C36" s="531"/>
      <c r="D36" s="542"/>
      <c r="E36" s="535"/>
      <c r="F36" s="542"/>
      <c r="G36" s="535">
        <f t="shared" ref="G36:H67" si="4">E36-C36</f>
        <v>0</v>
      </c>
      <c r="H36" s="542">
        <f t="shared" si="4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0"/>
      <c r="B37" s="530"/>
      <c r="C37" s="531"/>
      <c r="D37" s="542"/>
      <c r="E37" s="535"/>
      <c r="F37" s="542"/>
      <c r="G37" s="535">
        <f t="shared" si="4"/>
        <v>0</v>
      </c>
      <c r="H37" s="542">
        <f t="shared" si="4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>
        <f t="shared" si="4"/>
        <v>0</v>
      </c>
      <c r="H38" s="542">
        <f t="shared" si="4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>
        <f t="shared" si="4"/>
        <v>0</v>
      </c>
      <c r="H39" s="542">
        <f t="shared" si="4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>
        <f t="shared" si="4"/>
        <v>0</v>
      </c>
      <c r="H40" s="542">
        <f t="shared" si="4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>
        <f t="shared" si="4"/>
        <v>0</v>
      </c>
      <c r="H41" s="542">
        <f t="shared" si="4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5" hidden="1" customHeight="1" x14ac:dyDescent="0.25">
      <c r="A42" s="530"/>
      <c r="B42" s="530"/>
      <c r="C42" s="531"/>
      <c r="D42" s="542"/>
      <c r="E42" s="535"/>
      <c r="F42" s="542"/>
      <c r="G42" s="535">
        <f t="shared" si="4"/>
        <v>0</v>
      </c>
      <c r="H42" s="542">
        <f t="shared" si="4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4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0"/>
      <c r="D44" s="542"/>
      <c r="E44" s="535"/>
      <c r="F44" s="542"/>
      <c r="G44" s="535">
        <f t="shared" si="4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1"/>
      <c r="D45" s="542"/>
      <c r="E45" s="535"/>
      <c r="F45" s="542"/>
      <c r="G45" s="535">
        <f t="shared" si="4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4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4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7"/>
      <c r="B48" s="530"/>
      <c r="C48" s="531"/>
      <c r="D48" s="542"/>
      <c r="E48" s="535"/>
      <c r="F48" s="542"/>
      <c r="G48" s="535">
        <f t="shared" si="4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1"/>
      <c r="B49" s="530"/>
      <c r="C49" s="531"/>
      <c r="D49" s="542"/>
      <c r="E49" s="535"/>
      <c r="F49" s="542"/>
      <c r="G49" s="535">
        <f t="shared" si="4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0"/>
      <c r="B50" s="530"/>
      <c r="C50" s="530"/>
      <c r="D50" s="542"/>
      <c r="E50" s="530"/>
      <c r="F50" s="542"/>
      <c r="G50" s="535">
        <f t="shared" si="4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4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4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4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4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4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4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1"/>
      <c r="D57" s="542"/>
      <c r="E57" s="531"/>
      <c r="F57" s="542"/>
      <c r="G57" s="535">
        <f t="shared" si="4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4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4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5"/>
      <c r="F60" s="542"/>
      <c r="G60" s="535">
        <f t="shared" si="4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4"/>
        <v>0</v>
      </c>
      <c r="H61" s="542">
        <f t="shared" si="4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4"/>
        <v>0</v>
      </c>
      <c r="H62" s="542">
        <f t="shared" si="4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4"/>
        <v>0</v>
      </c>
      <c r="H63" s="542">
        <f t="shared" si="4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4"/>
        <v>0</v>
      </c>
      <c r="H64" s="542">
        <f t="shared" si="4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4"/>
        <v>0</v>
      </c>
      <c r="H65" s="542">
        <f t="shared" si="4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4"/>
        <v>0</v>
      </c>
      <c r="H66" s="542">
        <f t="shared" si="4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4"/>
        <v>0</v>
      </c>
      <c r="H67" s="542">
        <f t="shared" si="4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ref="G68:H82" si="5">E68-C68</f>
        <v>0</v>
      </c>
      <c r="H68" s="542">
        <f t="shared" si="5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ref="Z68:Z82" si="6">SUM(K68:Y68)</f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si="5"/>
        <v>0</v>
      </c>
      <c r="H69" s="542">
        <f t="shared" si="5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6"/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5"/>
        <v>0</v>
      </c>
      <c r="H70" s="542">
        <f t="shared" si="5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6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5"/>
        <v>0</v>
      </c>
      <c r="H71" s="542">
        <f t="shared" si="5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6"/>
        <v>0</v>
      </c>
    </row>
    <row r="72" spans="1:26" ht="15" hidden="1" customHeight="1" x14ac:dyDescent="0.25">
      <c r="A72" s="534"/>
      <c r="B72" s="530"/>
      <c r="C72" s="531"/>
      <c r="D72" s="542"/>
      <c r="E72" s="535"/>
      <c r="F72" s="542"/>
      <c r="G72" s="535">
        <f t="shared" si="5"/>
        <v>0</v>
      </c>
      <c r="H72" s="542">
        <f t="shared" si="5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6"/>
        <v>0</v>
      </c>
    </row>
    <row r="73" spans="1:26" ht="15" hidden="1" customHeight="1" x14ac:dyDescent="0.25">
      <c r="A73" s="530"/>
      <c r="B73" s="530"/>
      <c r="C73" s="531"/>
      <c r="D73" s="542"/>
      <c r="E73" s="535"/>
      <c r="F73" s="542"/>
      <c r="G73" s="535">
        <f t="shared" si="5"/>
        <v>0</v>
      </c>
      <c r="H73" s="542">
        <f t="shared" si="5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6"/>
        <v>0</v>
      </c>
    </row>
    <row r="74" spans="1:26" ht="15" hidden="1" customHeight="1" x14ac:dyDescent="0.25">
      <c r="A74" s="534"/>
      <c r="B74" s="530"/>
      <c r="C74" s="531"/>
      <c r="D74" s="542"/>
      <c r="E74" s="535"/>
      <c r="F74" s="542"/>
      <c r="G74" s="535">
        <f t="shared" si="5"/>
        <v>0</v>
      </c>
      <c r="H74" s="542">
        <f t="shared" si="5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6"/>
        <v>0</v>
      </c>
    </row>
    <row r="75" spans="1:26" ht="15" hidden="1" customHeight="1" x14ac:dyDescent="0.25">
      <c r="A75" s="530"/>
      <c r="B75" s="530"/>
      <c r="C75" s="531"/>
      <c r="D75" s="542"/>
      <c r="E75" s="535"/>
      <c r="F75" s="542"/>
      <c r="G75" s="535">
        <f t="shared" si="5"/>
        <v>0</v>
      </c>
      <c r="H75" s="542">
        <f t="shared" si="5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6"/>
        <v>0</v>
      </c>
    </row>
    <row r="76" spans="1:26" ht="15" hidden="1" customHeight="1" x14ac:dyDescent="0.25">
      <c r="A76" s="533"/>
      <c r="B76" s="530"/>
      <c r="C76" s="531"/>
      <c r="D76" s="542"/>
      <c r="E76" s="535"/>
      <c r="F76" s="542"/>
      <c r="G76" s="535">
        <f t="shared" si="5"/>
        <v>0</v>
      </c>
      <c r="H76" s="542">
        <f t="shared" si="5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6"/>
        <v>0</v>
      </c>
    </row>
    <row r="77" spans="1:26" ht="15" hidden="1" customHeight="1" x14ac:dyDescent="0.25">
      <c r="A77" s="530"/>
      <c r="B77" s="530"/>
      <c r="C77" s="531"/>
      <c r="D77" s="542"/>
      <c r="E77" s="535"/>
      <c r="F77" s="542"/>
      <c r="G77" s="535">
        <f t="shared" si="5"/>
        <v>0</v>
      </c>
      <c r="H77" s="542">
        <f t="shared" si="5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6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5"/>
        <v>0</v>
      </c>
      <c r="H78" s="542">
        <f t="shared" si="5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6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5"/>
        <v>0</v>
      </c>
      <c r="H79" s="542">
        <f t="shared" si="5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6"/>
        <v>0</v>
      </c>
    </row>
    <row r="80" spans="1:26" ht="15" hidden="1" customHeight="1" x14ac:dyDescent="0.25">
      <c r="A80" s="530"/>
      <c r="B80" s="530"/>
      <c r="C80" s="530"/>
      <c r="D80" s="542"/>
      <c r="E80" s="535"/>
      <c r="F80" s="542"/>
      <c r="G80" s="535">
        <f t="shared" si="5"/>
        <v>0</v>
      </c>
      <c r="H80" s="542">
        <f t="shared" si="5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6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5"/>
        <v>0</v>
      </c>
      <c r="H81" s="542">
        <f t="shared" si="5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6"/>
        <v>0</v>
      </c>
    </row>
    <row r="82" spans="1:26" ht="15" customHeight="1" x14ac:dyDescent="0.25">
      <c r="A82" s="535"/>
      <c r="B82" s="535"/>
      <c r="C82" s="535"/>
      <c r="D82" s="542"/>
      <c r="E82" s="535"/>
      <c r="F82" s="542"/>
      <c r="G82" s="535">
        <f t="shared" si="5"/>
        <v>0</v>
      </c>
      <c r="H82" s="542">
        <f t="shared" si="5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6"/>
        <v>0</v>
      </c>
    </row>
    <row r="83" spans="1:26" ht="15" customHeight="1" x14ac:dyDescent="0.25">
      <c r="A83" s="443" t="s">
        <v>1221</v>
      </c>
      <c r="B83" s="444"/>
      <c r="C83" s="447">
        <f t="shared" ref="C83:Z83" si="7">SUM(C5:C82)</f>
        <v>44</v>
      </c>
      <c r="D83" s="466">
        <f t="shared" si="7"/>
        <v>58759</v>
      </c>
      <c r="E83" s="447">
        <f t="shared" si="7"/>
        <v>44</v>
      </c>
      <c r="F83" s="466">
        <f t="shared" si="7"/>
        <v>60168</v>
      </c>
      <c r="G83" s="447">
        <f t="shared" si="7"/>
        <v>0</v>
      </c>
      <c r="H83" s="466">
        <f>SUM(H5:H82)</f>
        <v>1409</v>
      </c>
      <c r="I83" s="448">
        <f t="shared" si="7"/>
        <v>0</v>
      </c>
      <c r="J83" s="447">
        <f t="shared" si="7"/>
        <v>20695</v>
      </c>
      <c r="K83" s="448">
        <f t="shared" si="7"/>
        <v>0</v>
      </c>
      <c r="L83" s="447">
        <f t="shared" si="7"/>
        <v>0</v>
      </c>
      <c r="M83" s="447">
        <f t="shared" si="7"/>
        <v>0</v>
      </c>
      <c r="N83" s="447">
        <f t="shared" si="7"/>
        <v>0</v>
      </c>
      <c r="O83" s="447">
        <f t="shared" si="7"/>
        <v>0</v>
      </c>
      <c r="P83" s="447">
        <f t="shared" si="7"/>
        <v>0</v>
      </c>
      <c r="Q83" s="447">
        <f t="shared" si="7"/>
        <v>0</v>
      </c>
      <c r="R83" s="447">
        <f t="shared" si="7"/>
        <v>0</v>
      </c>
      <c r="S83" s="447">
        <f t="shared" si="7"/>
        <v>0</v>
      </c>
      <c r="T83" s="447">
        <f t="shared" si="7"/>
        <v>0</v>
      </c>
      <c r="U83" s="447">
        <f t="shared" si="7"/>
        <v>0</v>
      </c>
      <c r="V83" s="447">
        <f t="shared" si="7"/>
        <v>0</v>
      </c>
      <c r="W83" s="447">
        <f t="shared" si="7"/>
        <v>0</v>
      </c>
      <c r="X83" s="447">
        <f t="shared" si="7"/>
        <v>0</v>
      </c>
      <c r="Y83" s="447">
        <f t="shared" si="7"/>
        <v>0</v>
      </c>
      <c r="Z83" s="447">
        <f t="shared" si="7"/>
        <v>0</v>
      </c>
    </row>
    <row r="85" spans="1:26" x14ac:dyDescent="0.25">
      <c r="A85" s="739" t="s">
        <v>1227</v>
      </c>
      <c r="B85" s="739"/>
    </row>
    <row r="86" spans="1:26" ht="30" x14ac:dyDescent="0.25">
      <c r="A86" s="547" t="s">
        <v>1</v>
      </c>
      <c r="B86" s="547"/>
      <c r="C86" s="548" t="s">
        <v>1222</v>
      </c>
      <c r="D86" s="548" t="s">
        <v>1223</v>
      </c>
      <c r="E86" s="548" t="s">
        <v>392</v>
      </c>
      <c r="F86" s="549" t="s">
        <v>2</v>
      </c>
      <c r="G86" s="550" t="s">
        <v>1225</v>
      </c>
      <c r="H86" s="551" t="s">
        <v>1224</v>
      </c>
      <c r="I86" s="551" t="s">
        <v>1498</v>
      </c>
      <c r="J86" s="551" t="s">
        <v>94</v>
      </c>
      <c r="K86" s="552" t="s">
        <v>681</v>
      </c>
      <c r="L86" s="552" t="s">
        <v>1496</v>
      </c>
      <c r="M86" s="552" t="s">
        <v>1497</v>
      </c>
      <c r="N86" s="552" t="s">
        <v>682</v>
      </c>
      <c r="O86" s="552" t="s">
        <v>683</v>
      </c>
      <c r="P86" s="552" t="s">
        <v>87</v>
      </c>
      <c r="Q86" s="552" t="s">
        <v>684</v>
      </c>
      <c r="R86" s="552" t="s">
        <v>685</v>
      </c>
      <c r="S86" s="552" t="s">
        <v>690</v>
      </c>
      <c r="T86" s="552" t="s">
        <v>686</v>
      </c>
      <c r="U86" s="552" t="s">
        <v>687</v>
      </c>
      <c r="V86" s="552" t="s">
        <v>688</v>
      </c>
      <c r="W86" s="552" t="s">
        <v>689</v>
      </c>
      <c r="X86" s="552" t="s">
        <v>138</v>
      </c>
      <c r="Y86" s="552" t="s">
        <v>1385</v>
      </c>
      <c r="Z86" s="552" t="s">
        <v>1238</v>
      </c>
    </row>
    <row r="87" spans="1:26" ht="15" customHeight="1" x14ac:dyDescent="0.25">
      <c r="A87" s="543" t="s">
        <v>1749</v>
      </c>
      <c r="B87" s="574" t="s">
        <v>115</v>
      </c>
      <c r="C87" s="497">
        <v>42823</v>
      </c>
      <c r="D87" s="498">
        <v>42866</v>
      </c>
      <c r="E87" s="499">
        <v>42</v>
      </c>
      <c r="F87" s="498">
        <v>42866</v>
      </c>
      <c r="G87" s="499">
        <v>1</v>
      </c>
      <c r="H87" s="554">
        <v>1693</v>
      </c>
      <c r="I87" s="554">
        <v>5000</v>
      </c>
      <c r="J87" s="554">
        <v>677</v>
      </c>
      <c r="K87" s="496"/>
      <c r="L87" s="496"/>
      <c r="M87" s="496"/>
      <c r="N87" s="496"/>
      <c r="O87" s="496"/>
      <c r="P87" s="496">
        <v>1</v>
      </c>
      <c r="Q87" s="496"/>
      <c r="R87" s="496"/>
      <c r="S87" s="496"/>
      <c r="T87" s="496"/>
      <c r="U87" s="496"/>
      <c r="V87" s="496"/>
      <c r="W87" s="496"/>
      <c r="X87" s="496"/>
      <c r="Y87" s="496"/>
      <c r="Z87" s="496">
        <f>SUM(K87:Y87)</f>
        <v>1</v>
      </c>
    </row>
    <row r="88" spans="1:26" ht="15" customHeight="1" x14ac:dyDescent="0.25">
      <c r="A88" s="543" t="s">
        <v>1761</v>
      </c>
      <c r="B88" s="573" t="s">
        <v>115</v>
      </c>
      <c r="C88" s="487">
        <v>42381</v>
      </c>
      <c r="D88" s="488">
        <v>42867</v>
      </c>
      <c r="E88" s="486">
        <f>365+120</f>
        <v>485</v>
      </c>
      <c r="F88" s="488">
        <v>42811</v>
      </c>
      <c r="G88" s="486">
        <v>7</v>
      </c>
      <c r="H88" s="539">
        <v>11501</v>
      </c>
      <c r="I88" s="456">
        <v>5000</v>
      </c>
      <c r="J88" s="456">
        <v>4600</v>
      </c>
      <c r="K88" s="535">
        <v>1</v>
      </c>
      <c r="L88" s="535">
        <v>1</v>
      </c>
      <c r="M88" s="535">
        <v>1</v>
      </c>
      <c r="N88" s="535">
        <v>1</v>
      </c>
      <c r="O88" s="535">
        <v>1</v>
      </c>
      <c r="P88" s="535"/>
      <c r="Q88" s="535"/>
      <c r="R88" s="535">
        <v>1</v>
      </c>
      <c r="S88" s="535"/>
      <c r="T88" s="535">
        <v>1</v>
      </c>
      <c r="U88" s="535"/>
      <c r="V88" s="535"/>
      <c r="W88" s="535"/>
      <c r="X88" s="535"/>
      <c r="Y88" s="535"/>
      <c r="Z88" s="496">
        <f t="shared" ref="Z88:Z97" si="8">SUM(K88:Y88)</f>
        <v>7</v>
      </c>
    </row>
    <row r="89" spans="1:26" ht="29.45" customHeight="1" x14ac:dyDescent="0.25">
      <c r="A89" s="543" t="s">
        <v>1771</v>
      </c>
      <c r="B89" s="573" t="s">
        <v>115</v>
      </c>
      <c r="C89" s="487">
        <v>42772</v>
      </c>
      <c r="D89" s="488">
        <v>42892</v>
      </c>
      <c r="E89" s="486">
        <v>120</v>
      </c>
      <c r="F89" s="488">
        <v>42856</v>
      </c>
      <c r="G89" s="486">
        <v>4</v>
      </c>
      <c r="H89" s="539">
        <v>6572</v>
      </c>
      <c r="I89" s="539">
        <v>5000</v>
      </c>
      <c r="J89" s="539">
        <v>2628</v>
      </c>
      <c r="K89" s="535">
        <v>1</v>
      </c>
      <c r="L89" s="535"/>
      <c r="M89" s="535"/>
      <c r="N89" s="535">
        <v>1</v>
      </c>
      <c r="O89" s="535">
        <v>1</v>
      </c>
      <c r="P89" s="535">
        <v>1</v>
      </c>
      <c r="Q89" s="535"/>
      <c r="R89" s="535"/>
      <c r="S89" s="535"/>
      <c r="T89" s="535"/>
      <c r="U89" s="535"/>
      <c r="V89" s="535"/>
      <c r="W89" s="535"/>
      <c r="X89" s="535"/>
      <c r="Y89" s="535"/>
      <c r="Z89" s="496">
        <f t="shared" si="8"/>
        <v>4</v>
      </c>
    </row>
    <row r="90" spans="1:26" ht="15" customHeight="1" x14ac:dyDescent="0.25">
      <c r="A90" s="543" t="s">
        <v>1772</v>
      </c>
      <c r="B90" s="573" t="s">
        <v>115</v>
      </c>
      <c r="C90" s="487">
        <v>42772</v>
      </c>
      <c r="D90" s="488">
        <v>42892</v>
      </c>
      <c r="E90" s="486">
        <v>120</v>
      </c>
      <c r="F90" s="488">
        <v>42856</v>
      </c>
      <c r="G90" s="486">
        <v>2</v>
      </c>
      <c r="H90" s="539">
        <v>3286</v>
      </c>
      <c r="I90" s="539">
        <v>5000</v>
      </c>
      <c r="J90" s="539">
        <v>1314</v>
      </c>
      <c r="K90" s="535">
        <v>1</v>
      </c>
      <c r="L90" s="535"/>
      <c r="M90" s="535"/>
      <c r="N90" s="535"/>
      <c r="O90" s="535"/>
      <c r="P90" s="535">
        <v>1</v>
      </c>
      <c r="Q90" s="535"/>
      <c r="R90" s="535"/>
      <c r="S90" s="535"/>
      <c r="T90" s="535"/>
      <c r="U90" s="535"/>
      <c r="V90" s="535"/>
      <c r="W90" s="535"/>
      <c r="X90" s="535"/>
      <c r="Y90" s="535"/>
      <c r="Z90" s="496">
        <f t="shared" si="8"/>
        <v>2</v>
      </c>
    </row>
    <row r="91" spans="1:26" ht="15" customHeight="1" x14ac:dyDescent="0.25">
      <c r="A91" s="543" t="s">
        <v>1769</v>
      </c>
      <c r="B91" s="573" t="s">
        <v>115</v>
      </c>
      <c r="C91" s="487">
        <v>42706</v>
      </c>
      <c r="D91" s="488">
        <v>42891</v>
      </c>
      <c r="E91" s="486">
        <v>217</v>
      </c>
      <c r="F91" s="488">
        <v>42736</v>
      </c>
      <c r="G91" s="486">
        <v>12</v>
      </c>
      <c r="H91" s="539">
        <v>19716</v>
      </c>
      <c r="I91" s="539">
        <v>5000</v>
      </c>
      <c r="J91" s="539">
        <v>7884</v>
      </c>
      <c r="K91" s="535">
        <v>1</v>
      </c>
      <c r="L91" s="535">
        <v>1</v>
      </c>
      <c r="M91" s="535">
        <v>1</v>
      </c>
      <c r="N91" s="535">
        <v>1</v>
      </c>
      <c r="O91" s="535">
        <v>1</v>
      </c>
      <c r="P91" s="535">
        <v>1</v>
      </c>
      <c r="Q91" s="535">
        <v>1</v>
      </c>
      <c r="R91" s="535">
        <v>1</v>
      </c>
      <c r="S91" s="535">
        <v>1</v>
      </c>
      <c r="T91" s="535">
        <v>1</v>
      </c>
      <c r="U91" s="535">
        <v>1</v>
      </c>
      <c r="V91" s="535">
        <v>1</v>
      </c>
      <c r="W91" s="535"/>
      <c r="X91" s="535"/>
      <c r="Y91" s="535"/>
      <c r="Z91" s="496">
        <f t="shared" si="8"/>
        <v>12</v>
      </c>
    </row>
    <row r="92" spans="1:26" ht="15" customHeight="1" x14ac:dyDescent="0.25">
      <c r="A92" s="543" t="s">
        <v>1774</v>
      </c>
      <c r="B92" s="573" t="s">
        <v>115</v>
      </c>
      <c r="C92" s="487">
        <v>42787</v>
      </c>
      <c r="D92" s="488">
        <v>42893</v>
      </c>
      <c r="E92" s="486">
        <v>105</v>
      </c>
      <c r="F92" s="488">
        <v>42878</v>
      </c>
      <c r="G92" s="486">
        <v>8</v>
      </c>
      <c r="H92" s="539">
        <v>13144</v>
      </c>
      <c r="I92" s="539">
        <v>2500</v>
      </c>
      <c r="J92" s="539">
        <v>5258</v>
      </c>
      <c r="K92" s="535">
        <v>1</v>
      </c>
      <c r="L92" s="535">
        <v>1</v>
      </c>
      <c r="M92" s="535">
        <v>1</v>
      </c>
      <c r="N92" s="535">
        <v>1</v>
      </c>
      <c r="O92" s="535">
        <v>1</v>
      </c>
      <c r="P92" s="535">
        <v>1</v>
      </c>
      <c r="Q92" s="535">
        <v>1</v>
      </c>
      <c r="R92" s="535">
        <v>1</v>
      </c>
      <c r="S92" s="535"/>
      <c r="T92" s="535"/>
      <c r="U92" s="535"/>
      <c r="V92" s="535"/>
      <c r="W92" s="535"/>
      <c r="X92" s="535"/>
      <c r="Y92" s="535"/>
      <c r="Z92" s="496">
        <f t="shared" si="8"/>
        <v>8</v>
      </c>
    </row>
    <row r="93" spans="1:26" ht="15" customHeight="1" x14ac:dyDescent="0.25">
      <c r="A93" s="543" t="s">
        <v>1751</v>
      </c>
      <c r="B93" s="573" t="s">
        <v>100</v>
      </c>
      <c r="C93" s="487">
        <v>42381</v>
      </c>
      <c r="D93" s="488">
        <v>42870</v>
      </c>
      <c r="E93" s="486">
        <v>488</v>
      </c>
      <c r="F93" s="488">
        <v>42866</v>
      </c>
      <c r="G93" s="486">
        <v>1</v>
      </c>
      <c r="H93" s="539">
        <v>1643</v>
      </c>
      <c r="I93" s="539">
        <v>5000</v>
      </c>
      <c r="J93" s="539">
        <v>657</v>
      </c>
      <c r="K93" s="535"/>
      <c r="L93" s="535"/>
      <c r="M93" s="535"/>
      <c r="N93" s="535"/>
      <c r="O93" s="535"/>
      <c r="P93" s="535">
        <v>1</v>
      </c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8"/>
        <v>1</v>
      </c>
    </row>
    <row r="94" spans="1:26" ht="15" customHeight="1" x14ac:dyDescent="0.25">
      <c r="A94" s="543" t="s">
        <v>1755</v>
      </c>
      <c r="B94" s="574" t="s">
        <v>100</v>
      </c>
      <c r="C94" s="497">
        <v>42683</v>
      </c>
      <c r="D94" s="498">
        <v>42871</v>
      </c>
      <c r="E94" s="499">
        <v>157</v>
      </c>
      <c r="F94" s="498">
        <v>42856</v>
      </c>
      <c r="G94" s="499">
        <v>5</v>
      </c>
      <c r="H94" s="554">
        <f>8215*0.95</f>
        <v>7804.25</v>
      </c>
      <c r="I94" s="554">
        <v>5000</v>
      </c>
      <c r="J94" s="554">
        <f>H94*0.4</f>
        <v>3121.7000000000003</v>
      </c>
      <c r="K94" s="496">
        <v>1</v>
      </c>
      <c r="L94" s="496"/>
      <c r="M94" s="496"/>
      <c r="N94" s="496">
        <v>1</v>
      </c>
      <c r="O94" s="496"/>
      <c r="P94" s="496"/>
      <c r="Q94" s="496">
        <v>1</v>
      </c>
      <c r="R94" s="496">
        <v>1</v>
      </c>
      <c r="S94" s="496"/>
      <c r="T94" s="496">
        <v>1</v>
      </c>
      <c r="U94" s="496"/>
      <c r="V94" s="496"/>
      <c r="W94" s="496"/>
      <c r="X94" s="496"/>
      <c r="Y94" s="496"/>
      <c r="Z94" s="496">
        <f t="shared" si="8"/>
        <v>5</v>
      </c>
    </row>
    <row r="95" spans="1:26" ht="15" customHeight="1" x14ac:dyDescent="0.25">
      <c r="A95" s="543" t="s">
        <v>1754</v>
      </c>
      <c r="B95" s="573" t="s">
        <v>100</v>
      </c>
      <c r="C95" s="487">
        <v>42683</v>
      </c>
      <c r="D95" s="488">
        <v>42871</v>
      </c>
      <c r="E95" s="486">
        <v>157</v>
      </c>
      <c r="F95" s="488">
        <v>42856</v>
      </c>
      <c r="G95" s="486">
        <v>6</v>
      </c>
      <c r="H95" s="539">
        <f>9858*0.95</f>
        <v>9365.1</v>
      </c>
      <c r="I95" s="539">
        <v>5000</v>
      </c>
      <c r="J95" s="539">
        <f>H95*0.4</f>
        <v>3746.0400000000004</v>
      </c>
      <c r="K95" s="535">
        <v>1</v>
      </c>
      <c r="L95" s="535"/>
      <c r="M95" s="535"/>
      <c r="N95" s="535">
        <v>1</v>
      </c>
      <c r="O95" s="535">
        <v>1</v>
      </c>
      <c r="P95" s="535"/>
      <c r="Q95" s="535">
        <v>1</v>
      </c>
      <c r="R95" s="535">
        <v>1</v>
      </c>
      <c r="S95" s="535"/>
      <c r="T95" s="535">
        <v>1</v>
      </c>
      <c r="U95" s="535"/>
      <c r="V95" s="535"/>
      <c r="W95" s="535"/>
      <c r="X95" s="535"/>
      <c r="Y95" s="535"/>
      <c r="Z95" s="496">
        <f t="shared" si="8"/>
        <v>6</v>
      </c>
    </row>
    <row r="96" spans="1:26" ht="15" customHeight="1" x14ac:dyDescent="0.25">
      <c r="A96" s="543" t="s">
        <v>1753</v>
      </c>
      <c r="B96" s="574" t="s">
        <v>100</v>
      </c>
      <c r="C96" s="497">
        <v>42683</v>
      </c>
      <c r="D96" s="498">
        <v>42871</v>
      </c>
      <c r="E96" s="499">
        <v>157</v>
      </c>
      <c r="F96" s="498">
        <v>42856</v>
      </c>
      <c r="G96" s="499">
        <v>2</v>
      </c>
      <c r="H96" s="554">
        <f>3286*0.95</f>
        <v>3121.7</v>
      </c>
      <c r="I96" s="554">
        <v>5000</v>
      </c>
      <c r="J96" s="554">
        <v>1248.6300000000001</v>
      </c>
      <c r="K96" s="496">
        <v>1</v>
      </c>
      <c r="L96" s="496"/>
      <c r="M96" s="496"/>
      <c r="N96" s="496"/>
      <c r="O96" s="496"/>
      <c r="P96" s="496"/>
      <c r="Q96" s="496">
        <v>1</v>
      </c>
      <c r="R96" s="496"/>
      <c r="S96" s="496"/>
      <c r="T96" s="496"/>
      <c r="U96" s="496"/>
      <c r="V96" s="496"/>
      <c r="W96" s="496"/>
      <c r="X96" s="496"/>
      <c r="Y96" s="496"/>
      <c r="Z96" s="496">
        <f t="shared" si="8"/>
        <v>2</v>
      </c>
    </row>
    <row r="97" spans="1:26" ht="15" customHeight="1" x14ac:dyDescent="0.25">
      <c r="A97" s="543" t="s">
        <v>1756</v>
      </c>
      <c r="B97" s="574" t="s">
        <v>100</v>
      </c>
      <c r="C97" s="497">
        <v>42683</v>
      </c>
      <c r="D97" s="498">
        <v>42871</v>
      </c>
      <c r="E97" s="499">
        <v>157</v>
      </c>
      <c r="F97" s="498">
        <v>42856</v>
      </c>
      <c r="G97" s="499">
        <v>2</v>
      </c>
      <c r="H97" s="554">
        <f>3286*0.95</f>
        <v>3121.7</v>
      </c>
      <c r="I97" s="572">
        <v>5000</v>
      </c>
      <c r="J97" s="554">
        <v>1248.6300000000001</v>
      </c>
      <c r="K97" s="496">
        <v>1</v>
      </c>
      <c r="L97" s="496"/>
      <c r="M97" s="496"/>
      <c r="N97" s="496"/>
      <c r="O97" s="496"/>
      <c r="P97" s="496"/>
      <c r="Q97" s="496">
        <v>1</v>
      </c>
      <c r="R97" s="496"/>
      <c r="S97" s="496"/>
      <c r="T97" s="496"/>
      <c r="U97" s="496"/>
      <c r="V97" s="496"/>
      <c r="W97" s="496"/>
      <c r="X97" s="496"/>
      <c r="Y97" s="496"/>
      <c r="Z97" s="496">
        <f t="shared" si="8"/>
        <v>2</v>
      </c>
    </row>
    <row r="98" spans="1:26" ht="15" customHeight="1" x14ac:dyDescent="0.25">
      <c r="A98" s="443" t="s">
        <v>1226</v>
      </c>
      <c r="B98" s="444"/>
      <c r="C98" s="445"/>
      <c r="D98" s="446"/>
      <c r="E98" s="447"/>
      <c r="F98" s="446"/>
      <c r="G98" s="447">
        <f>SUM(G92:G97)</f>
        <v>24</v>
      </c>
      <c r="H98" s="448">
        <f>SUM(H87:H97)</f>
        <v>80967.75</v>
      </c>
      <c r="I98" s="448">
        <f t="shared" ref="I98:Z98" si="9">SUM(I87:I97)</f>
        <v>52500</v>
      </c>
      <c r="J98" s="448">
        <f t="shared" si="9"/>
        <v>32383.000000000004</v>
      </c>
      <c r="K98" s="447">
        <f t="shared" si="9"/>
        <v>9</v>
      </c>
      <c r="L98" s="447">
        <f t="shared" si="9"/>
        <v>3</v>
      </c>
      <c r="M98" s="447">
        <f t="shared" si="9"/>
        <v>3</v>
      </c>
      <c r="N98" s="447">
        <f t="shared" si="9"/>
        <v>6</v>
      </c>
      <c r="O98" s="447">
        <f t="shared" si="9"/>
        <v>5</v>
      </c>
      <c r="P98" s="447">
        <f t="shared" si="9"/>
        <v>6</v>
      </c>
      <c r="Q98" s="447">
        <f t="shared" si="9"/>
        <v>6</v>
      </c>
      <c r="R98" s="447">
        <f t="shared" si="9"/>
        <v>5</v>
      </c>
      <c r="S98" s="447">
        <f t="shared" si="9"/>
        <v>1</v>
      </c>
      <c r="T98" s="447">
        <f t="shared" si="9"/>
        <v>4</v>
      </c>
      <c r="U98" s="447">
        <f t="shared" si="9"/>
        <v>1</v>
      </c>
      <c r="V98" s="447">
        <f t="shared" si="9"/>
        <v>1</v>
      </c>
      <c r="W98" s="447">
        <f t="shared" si="9"/>
        <v>0</v>
      </c>
      <c r="X98" s="447">
        <f t="shared" si="9"/>
        <v>0</v>
      </c>
      <c r="Y98" s="447">
        <f t="shared" si="9"/>
        <v>0</v>
      </c>
      <c r="Z98" s="447">
        <f t="shared" si="9"/>
        <v>50</v>
      </c>
    </row>
    <row r="99" spans="1:26" ht="15" customHeight="1" x14ac:dyDescent="0.25">
      <c r="A99" s="428"/>
      <c r="B99" s="422"/>
      <c r="C99" s="422"/>
      <c r="D99" s="429"/>
      <c r="E99" s="422"/>
      <c r="F99" s="429"/>
      <c r="G99" s="433"/>
      <c r="H99" s="422"/>
      <c r="I99" s="422"/>
      <c r="J99" s="422"/>
    </row>
    <row r="100" spans="1:26" x14ac:dyDescent="0.25">
      <c r="A100" s="739" t="s">
        <v>1228</v>
      </c>
      <c r="B100" s="739"/>
      <c r="G100" s="420"/>
    </row>
    <row r="101" spans="1:26" ht="30" x14ac:dyDescent="0.25">
      <c r="A101" s="570" t="s">
        <v>1</v>
      </c>
      <c r="B101" s="570" t="s">
        <v>59</v>
      </c>
      <c r="C101" s="425" t="s">
        <v>1222</v>
      </c>
      <c r="D101" s="425" t="s">
        <v>1223</v>
      </c>
      <c r="E101" s="425" t="s">
        <v>392</v>
      </c>
      <c r="F101" s="426" t="s">
        <v>2</v>
      </c>
      <c r="G101" s="432" t="s">
        <v>1225</v>
      </c>
      <c r="H101" s="427" t="s">
        <v>1224</v>
      </c>
      <c r="I101" s="427" t="s">
        <v>1498</v>
      </c>
      <c r="J101" s="427" t="s">
        <v>94</v>
      </c>
      <c r="K101" s="424" t="s">
        <v>681</v>
      </c>
      <c r="L101" s="424" t="s">
        <v>1496</v>
      </c>
      <c r="M101" s="424" t="s">
        <v>1497</v>
      </c>
      <c r="N101" s="424" t="s">
        <v>682</v>
      </c>
      <c r="O101" s="424" t="s">
        <v>683</v>
      </c>
      <c r="P101" s="424" t="s">
        <v>87</v>
      </c>
      <c r="Q101" s="424" t="s">
        <v>684</v>
      </c>
      <c r="R101" s="424" t="s">
        <v>685</v>
      </c>
      <c r="S101" s="424" t="s">
        <v>690</v>
      </c>
      <c r="T101" s="424" t="s">
        <v>686</v>
      </c>
      <c r="U101" s="424" t="s">
        <v>687</v>
      </c>
      <c r="V101" s="424" t="s">
        <v>688</v>
      </c>
      <c r="W101" s="424" t="s">
        <v>689</v>
      </c>
      <c r="X101" s="424" t="s">
        <v>138</v>
      </c>
      <c r="Y101" s="424" t="s">
        <v>1385</v>
      </c>
      <c r="Z101" s="424" t="s">
        <v>1238</v>
      </c>
    </row>
    <row r="102" spans="1:26" ht="15" customHeight="1" x14ac:dyDescent="0.25">
      <c r="A102" s="543" t="s">
        <v>1641</v>
      </c>
      <c r="B102" s="573" t="s">
        <v>115</v>
      </c>
      <c r="C102" s="487">
        <v>42789</v>
      </c>
      <c r="D102" s="488">
        <v>42856</v>
      </c>
      <c r="E102" s="486">
        <v>68</v>
      </c>
      <c r="F102" s="488">
        <v>42856</v>
      </c>
      <c r="G102" s="486">
        <v>3</v>
      </c>
      <c r="H102" s="539">
        <f>1643+1643+1643</f>
        <v>4929</v>
      </c>
      <c r="I102" s="539">
        <v>0</v>
      </c>
      <c r="J102" s="539">
        <f>657+657+657</f>
        <v>1971</v>
      </c>
      <c r="K102" s="535"/>
      <c r="L102" s="535">
        <v>1</v>
      </c>
      <c r="M102" s="535">
        <v>1</v>
      </c>
      <c r="N102" s="535"/>
      <c r="O102" s="535"/>
      <c r="P102" s="535"/>
      <c r="Q102" s="535"/>
      <c r="R102" s="535">
        <v>1</v>
      </c>
      <c r="S102" s="535"/>
      <c r="T102" s="535"/>
      <c r="U102" s="535"/>
      <c r="V102" s="535"/>
      <c r="W102" s="535"/>
      <c r="X102" s="535"/>
      <c r="Y102" s="535"/>
      <c r="Z102" s="535">
        <f>SUM(K102:Y102)</f>
        <v>3</v>
      </c>
    </row>
    <row r="103" spans="1:26" s="457" customFormat="1" ht="15" customHeight="1" x14ac:dyDescent="0.25">
      <c r="A103" s="543" t="s">
        <v>1747</v>
      </c>
      <c r="B103" s="573" t="s">
        <v>115</v>
      </c>
      <c r="C103" s="487">
        <v>42853</v>
      </c>
      <c r="D103" s="488">
        <v>42858</v>
      </c>
      <c r="E103" s="486">
        <v>5</v>
      </c>
      <c r="F103" s="488">
        <v>42858</v>
      </c>
      <c r="G103" s="486">
        <v>1</v>
      </c>
      <c r="H103" s="539">
        <v>1643</v>
      </c>
      <c r="I103" s="539">
        <v>0</v>
      </c>
      <c r="J103" s="539">
        <v>657</v>
      </c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>
        <v>1</v>
      </c>
      <c r="W103" s="535"/>
      <c r="X103" s="535"/>
      <c r="Y103" s="452"/>
      <c r="Z103" s="535">
        <f t="shared" ref="Z103:Z109" si="10">SUM(K103:Y103)</f>
        <v>1</v>
      </c>
    </row>
    <row r="104" spans="1:26" s="457" customFormat="1" ht="15" customHeight="1" x14ac:dyDescent="0.25">
      <c r="A104" s="543" t="s">
        <v>1737</v>
      </c>
      <c r="B104" s="573" t="s">
        <v>115</v>
      </c>
      <c r="C104" s="487">
        <v>42831</v>
      </c>
      <c r="D104" s="488">
        <v>42865</v>
      </c>
      <c r="E104" s="486">
        <v>34</v>
      </c>
      <c r="F104" s="488">
        <v>42860</v>
      </c>
      <c r="G104" s="486">
        <v>1</v>
      </c>
      <c r="H104" s="539">
        <v>1693</v>
      </c>
      <c r="I104" s="539">
        <v>3750</v>
      </c>
      <c r="J104" s="539">
        <v>677</v>
      </c>
      <c r="K104" s="535"/>
      <c r="L104" s="535"/>
      <c r="M104" s="535"/>
      <c r="N104" s="535"/>
      <c r="O104" s="535"/>
      <c r="P104" s="535">
        <v>1</v>
      </c>
      <c r="Q104" s="535"/>
      <c r="R104" s="535"/>
      <c r="S104" s="535"/>
      <c r="T104" s="535"/>
      <c r="U104" s="535"/>
      <c r="V104" s="535"/>
      <c r="W104" s="535"/>
      <c r="X104" s="535"/>
      <c r="Y104" s="452"/>
      <c r="Z104" s="535">
        <f t="shared" si="10"/>
        <v>1</v>
      </c>
    </row>
    <row r="105" spans="1:26" s="457" customFormat="1" ht="15" customHeight="1" x14ac:dyDescent="0.25">
      <c r="A105" s="543" t="s">
        <v>905</v>
      </c>
      <c r="B105" s="573" t="s">
        <v>61</v>
      </c>
      <c r="C105" s="487">
        <v>42867</v>
      </c>
      <c r="D105" s="488">
        <v>42885</v>
      </c>
      <c r="E105" s="486">
        <v>18</v>
      </c>
      <c r="F105" s="488">
        <v>42885</v>
      </c>
      <c r="G105" s="486">
        <v>1</v>
      </c>
      <c r="H105" s="539">
        <v>2304</v>
      </c>
      <c r="I105" s="539">
        <v>0</v>
      </c>
      <c r="J105" s="539">
        <v>921</v>
      </c>
      <c r="K105" s="535"/>
      <c r="L105" s="535"/>
      <c r="M105" s="535"/>
      <c r="N105" s="535"/>
      <c r="O105" s="535"/>
      <c r="P105" s="535"/>
      <c r="Q105" s="535"/>
      <c r="R105" s="535"/>
      <c r="S105" s="535"/>
      <c r="T105" s="535">
        <v>1</v>
      </c>
      <c r="U105" s="535"/>
      <c r="V105" s="535"/>
      <c r="W105" s="535"/>
      <c r="X105" s="535"/>
      <c r="Y105" s="452"/>
      <c r="Z105" s="535">
        <f t="shared" si="10"/>
        <v>1</v>
      </c>
    </row>
    <row r="106" spans="1:26" s="457" customFormat="1" ht="15" customHeight="1" x14ac:dyDescent="0.25">
      <c r="A106" s="538"/>
      <c r="B106" s="535"/>
      <c r="C106" s="487"/>
      <c r="D106" s="488"/>
      <c r="E106" s="486"/>
      <c r="F106" s="488"/>
      <c r="G106" s="486"/>
      <c r="H106" s="539"/>
      <c r="I106" s="539"/>
      <c r="J106" s="539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452"/>
      <c r="Z106" s="535">
        <f t="shared" si="10"/>
        <v>0</v>
      </c>
    </row>
    <row r="107" spans="1:26" s="457" customFormat="1" ht="15" customHeight="1" x14ac:dyDescent="0.25">
      <c r="A107" s="538"/>
      <c r="B107" s="535"/>
      <c r="C107" s="487"/>
      <c r="D107" s="488"/>
      <c r="E107" s="486"/>
      <c r="F107" s="488"/>
      <c r="G107" s="486"/>
      <c r="H107" s="539"/>
      <c r="I107" s="539"/>
      <c r="J107" s="539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  <c r="V107" s="535"/>
      <c r="W107" s="535"/>
      <c r="X107" s="535"/>
      <c r="Y107" s="452"/>
      <c r="Z107" s="535">
        <f t="shared" si="10"/>
        <v>0</v>
      </c>
    </row>
    <row r="108" spans="1:26" s="457" customFormat="1" ht="15" customHeight="1" x14ac:dyDescent="0.25">
      <c r="A108" s="541"/>
      <c r="B108" s="452"/>
      <c r="C108" s="453"/>
      <c r="D108" s="454"/>
      <c r="E108" s="455"/>
      <c r="F108" s="454"/>
      <c r="G108" s="455"/>
      <c r="H108" s="456"/>
      <c r="I108" s="456"/>
      <c r="J108" s="456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535">
        <f t="shared" si="10"/>
        <v>0</v>
      </c>
    </row>
    <row r="109" spans="1:26" s="457" customFormat="1" ht="15" customHeight="1" x14ac:dyDescent="0.25">
      <c r="A109" s="541"/>
      <c r="B109" s="452"/>
      <c r="C109" s="453"/>
      <c r="D109" s="454"/>
      <c r="E109" s="455"/>
      <c r="F109" s="454"/>
      <c r="G109" s="455"/>
      <c r="H109" s="456"/>
      <c r="I109" s="456"/>
      <c r="J109" s="456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535">
        <f t="shared" si="10"/>
        <v>0</v>
      </c>
    </row>
    <row r="110" spans="1:26" ht="15" customHeight="1" x14ac:dyDescent="0.25">
      <c r="A110" s="443" t="s">
        <v>450</v>
      </c>
      <c r="B110" s="444"/>
      <c r="C110" s="445"/>
      <c r="D110" s="446"/>
      <c r="E110" s="447"/>
      <c r="F110" s="446"/>
      <c r="G110" s="447">
        <f t="shared" ref="G110:Z110" si="11">SUM(G102:G109)</f>
        <v>6</v>
      </c>
      <c r="H110" s="448">
        <f>SUM(H102:H109)</f>
        <v>10569</v>
      </c>
      <c r="I110" s="448">
        <f>SUM(I102:I109)</f>
        <v>3750</v>
      </c>
      <c r="J110" s="448">
        <f>SUM(J102:J109)</f>
        <v>4226</v>
      </c>
      <c r="K110" s="447">
        <f t="shared" si="11"/>
        <v>0</v>
      </c>
      <c r="L110" s="447">
        <f t="shared" si="11"/>
        <v>1</v>
      </c>
      <c r="M110" s="447">
        <f t="shared" si="11"/>
        <v>1</v>
      </c>
      <c r="N110" s="447">
        <f t="shared" si="11"/>
        <v>0</v>
      </c>
      <c r="O110" s="447">
        <f t="shared" si="11"/>
        <v>0</v>
      </c>
      <c r="P110" s="447">
        <f t="shared" si="11"/>
        <v>1</v>
      </c>
      <c r="Q110" s="447">
        <f t="shared" si="11"/>
        <v>0</v>
      </c>
      <c r="R110" s="447">
        <f t="shared" si="11"/>
        <v>1</v>
      </c>
      <c r="S110" s="447">
        <f t="shared" si="11"/>
        <v>0</v>
      </c>
      <c r="T110" s="447">
        <f t="shared" si="11"/>
        <v>1</v>
      </c>
      <c r="U110" s="447">
        <f t="shared" si="11"/>
        <v>0</v>
      </c>
      <c r="V110" s="447">
        <f t="shared" si="11"/>
        <v>1</v>
      </c>
      <c r="W110" s="447">
        <f t="shared" si="11"/>
        <v>0</v>
      </c>
      <c r="X110" s="447"/>
      <c r="Y110" s="447"/>
      <c r="Z110" s="447">
        <f t="shared" si="11"/>
        <v>6</v>
      </c>
    </row>
    <row r="112" spans="1:26" x14ac:dyDescent="0.25">
      <c r="A112" s="739" t="s">
        <v>1229</v>
      </c>
      <c r="B112" s="739"/>
    </row>
    <row r="113" spans="1:26" ht="30" x14ac:dyDescent="0.25">
      <c r="A113" s="570" t="s">
        <v>1</v>
      </c>
      <c r="B113" s="570" t="s">
        <v>59</v>
      </c>
      <c r="C113" s="425"/>
      <c r="D113" s="425"/>
      <c r="E113" s="425"/>
      <c r="F113" s="426"/>
      <c r="G113" s="432" t="s">
        <v>1225</v>
      </c>
      <c r="H113" s="427" t="s">
        <v>1224</v>
      </c>
      <c r="I113" s="427" t="s">
        <v>1498</v>
      </c>
      <c r="J113" s="427" t="s">
        <v>94</v>
      </c>
      <c r="K113" s="424" t="s">
        <v>681</v>
      </c>
      <c r="L113" s="424" t="s">
        <v>1496</v>
      </c>
      <c r="M113" s="424" t="s">
        <v>1497</v>
      </c>
      <c r="N113" s="424" t="s">
        <v>682</v>
      </c>
      <c r="O113" s="424" t="s">
        <v>683</v>
      </c>
      <c r="P113" s="424" t="s">
        <v>87</v>
      </c>
      <c r="Q113" s="424" t="s">
        <v>684</v>
      </c>
      <c r="R113" s="424" t="s">
        <v>685</v>
      </c>
      <c r="S113" s="424" t="s">
        <v>690</v>
      </c>
      <c r="T113" s="424" t="s">
        <v>686</v>
      </c>
      <c r="U113" s="424" t="s">
        <v>687</v>
      </c>
      <c r="V113" s="424" t="s">
        <v>688</v>
      </c>
      <c r="W113" s="424" t="s">
        <v>689</v>
      </c>
      <c r="X113" s="424" t="s">
        <v>138</v>
      </c>
      <c r="Y113" s="424" t="s">
        <v>1385</v>
      </c>
      <c r="Z113" s="424" t="s">
        <v>1238</v>
      </c>
    </row>
    <row r="114" spans="1:26" s="457" customFormat="1" ht="15" customHeight="1" x14ac:dyDescent="0.25">
      <c r="A114" s="543" t="s">
        <v>1748</v>
      </c>
      <c r="B114" s="573" t="s">
        <v>100</v>
      </c>
      <c r="C114" s="487">
        <v>42809</v>
      </c>
      <c r="D114" s="488">
        <v>42863</v>
      </c>
      <c r="E114" s="486">
        <v>53</v>
      </c>
      <c r="F114" s="488">
        <v>42863</v>
      </c>
      <c r="G114" s="486">
        <v>-1</v>
      </c>
      <c r="H114" s="539">
        <v>-1643</v>
      </c>
      <c r="I114" s="539">
        <v>0</v>
      </c>
      <c r="J114" s="539">
        <v>-657</v>
      </c>
      <c r="K114" s="535"/>
      <c r="L114" s="535"/>
      <c r="M114" s="535"/>
      <c r="N114" s="535">
        <v>-1</v>
      </c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ref="Z114:Z122" si="12">SUM(K114:Y114)</f>
        <v>-1</v>
      </c>
    </row>
    <row r="115" spans="1:26" ht="15" customHeight="1" x14ac:dyDescent="0.25">
      <c r="A115" s="543" t="s">
        <v>1760</v>
      </c>
      <c r="B115" s="573" t="s">
        <v>1620</v>
      </c>
      <c r="C115" s="487">
        <v>42838</v>
      </c>
      <c r="D115" s="488">
        <v>42866</v>
      </c>
      <c r="E115" s="486">
        <v>28</v>
      </c>
      <c r="F115" s="488">
        <v>42856</v>
      </c>
      <c r="G115" s="486">
        <v>-21</v>
      </c>
      <c r="H115" s="539">
        <v>-15075</v>
      </c>
      <c r="I115" s="539">
        <v>0</v>
      </c>
      <c r="J115" s="539">
        <v>-6031</v>
      </c>
      <c r="K115" s="535">
        <v>-3</v>
      </c>
      <c r="L115" s="535">
        <v>-3</v>
      </c>
      <c r="M115" s="535">
        <v>-3</v>
      </c>
      <c r="N115" s="535">
        <v>-3</v>
      </c>
      <c r="O115" s="535">
        <v>-3</v>
      </c>
      <c r="P115" s="535"/>
      <c r="Q115" s="535">
        <v>-3</v>
      </c>
      <c r="R115" s="535">
        <v>-3</v>
      </c>
      <c r="S115" s="535"/>
      <c r="T115" s="535"/>
      <c r="U115" s="535"/>
      <c r="V115" s="535"/>
      <c r="W115" s="535"/>
      <c r="X115" s="535"/>
      <c r="Y115" s="535"/>
      <c r="Z115" s="535">
        <f t="shared" si="12"/>
        <v>-21</v>
      </c>
    </row>
    <row r="116" spans="1:26" ht="15" customHeight="1" x14ac:dyDescent="0.25">
      <c r="A116" s="543" t="s">
        <v>1765</v>
      </c>
      <c r="B116" s="573" t="s">
        <v>115</v>
      </c>
      <c r="C116" s="487">
        <v>42829</v>
      </c>
      <c r="D116" s="488">
        <v>42880</v>
      </c>
      <c r="E116" s="486">
        <v>51</v>
      </c>
      <c r="F116" s="488">
        <v>42866</v>
      </c>
      <c r="G116" s="486">
        <v>-1</v>
      </c>
      <c r="H116" s="539">
        <v>-1302</v>
      </c>
      <c r="I116" s="539">
        <v>0</v>
      </c>
      <c r="J116" s="539">
        <v>-355</v>
      </c>
      <c r="K116" s="535"/>
      <c r="L116" s="535"/>
      <c r="M116" s="535"/>
      <c r="N116" s="535"/>
      <c r="O116" s="535"/>
      <c r="P116" s="535">
        <v>-1</v>
      </c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2"/>
        <v>-1</v>
      </c>
    </row>
    <row r="117" spans="1:26" s="457" customFormat="1" ht="15" customHeight="1" x14ac:dyDescent="0.25">
      <c r="A117" s="543" t="s">
        <v>1767</v>
      </c>
      <c r="B117" s="573" t="s">
        <v>61</v>
      </c>
      <c r="C117" s="487">
        <v>42794</v>
      </c>
      <c r="D117" s="488">
        <v>42885</v>
      </c>
      <c r="E117" s="486">
        <v>92</v>
      </c>
      <c r="F117" s="488">
        <v>42885</v>
      </c>
      <c r="G117" s="486">
        <v>-2</v>
      </c>
      <c r="H117" s="542">
        <v>-3386</v>
      </c>
      <c r="I117" s="539">
        <v>0</v>
      </c>
      <c r="J117" s="539">
        <v>-1354</v>
      </c>
      <c r="K117" s="535"/>
      <c r="L117" s="535">
        <v>-1</v>
      </c>
      <c r="M117" s="535">
        <v>-1</v>
      </c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2"/>
        <v>-2</v>
      </c>
    </row>
    <row r="118" spans="1:26" ht="15" customHeight="1" x14ac:dyDescent="0.25">
      <c r="A118" s="543" t="s">
        <v>905</v>
      </c>
      <c r="B118" s="573" t="s">
        <v>61</v>
      </c>
      <c r="C118" s="487">
        <v>42867</v>
      </c>
      <c r="D118" s="488">
        <v>42885</v>
      </c>
      <c r="E118" s="486">
        <v>18</v>
      </c>
      <c r="F118" s="488">
        <v>42885</v>
      </c>
      <c r="G118" s="486">
        <v>1</v>
      </c>
      <c r="H118" s="542">
        <v>-399</v>
      </c>
      <c r="I118" s="539">
        <v>0</v>
      </c>
      <c r="J118" s="539">
        <v>-177</v>
      </c>
      <c r="K118" s="535"/>
      <c r="L118" s="535"/>
      <c r="M118" s="535"/>
      <c r="N118" s="535"/>
      <c r="O118" s="535"/>
      <c r="P118" s="535"/>
      <c r="Q118" s="535"/>
      <c r="R118" s="535">
        <v>-1</v>
      </c>
      <c r="S118" s="535"/>
      <c r="T118" s="535"/>
      <c r="U118" s="535"/>
      <c r="V118" s="535"/>
      <c r="W118" s="535"/>
      <c r="X118" s="535"/>
      <c r="Y118" s="535"/>
      <c r="Z118" s="535">
        <f t="shared" si="12"/>
        <v>-1</v>
      </c>
    </row>
    <row r="119" spans="1:26" ht="15" customHeight="1" x14ac:dyDescent="0.25">
      <c r="A119" s="531"/>
      <c r="B119" s="535"/>
      <c r="C119" s="487"/>
      <c r="D119" s="488"/>
      <c r="E119" s="486"/>
      <c r="F119" s="488"/>
      <c r="G119" s="486"/>
      <c r="H119" s="542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2"/>
        <v>0</v>
      </c>
    </row>
    <row r="120" spans="1:26" s="457" customFormat="1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si="12"/>
        <v>0</v>
      </c>
    </row>
    <row r="121" spans="1:26" ht="15" customHeight="1" x14ac:dyDescent="0.25">
      <c r="A121" s="538"/>
      <c r="B121" s="535"/>
      <c r="C121" s="487"/>
      <c r="D121" s="488"/>
      <c r="E121" s="486"/>
      <c r="F121" s="488"/>
      <c r="G121" s="486"/>
      <c r="H121" s="539"/>
      <c r="I121" s="539"/>
      <c r="J121" s="539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>
        <f t="shared" si="12"/>
        <v>0</v>
      </c>
    </row>
    <row r="122" spans="1:26" ht="15" customHeight="1" x14ac:dyDescent="0.25">
      <c r="A122" s="538"/>
      <c r="B122" s="535"/>
      <c r="C122" s="487"/>
      <c r="D122" s="488"/>
      <c r="E122" s="486"/>
      <c r="F122" s="488"/>
      <c r="G122" s="486"/>
      <c r="H122" s="539"/>
      <c r="I122" s="539"/>
      <c r="J122" s="539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>
        <f t="shared" si="12"/>
        <v>0</v>
      </c>
    </row>
    <row r="123" spans="1:26" ht="15" customHeight="1" x14ac:dyDescent="0.25">
      <c r="A123" s="443" t="s">
        <v>1230</v>
      </c>
      <c r="B123" s="444"/>
      <c r="C123" s="445"/>
      <c r="D123" s="446"/>
      <c r="E123" s="447"/>
      <c r="F123" s="446"/>
      <c r="G123" s="447">
        <f>SUM(G114:G122)</f>
        <v>-24</v>
      </c>
      <c r="H123" s="448">
        <f>SUM(H114:H122)</f>
        <v>-21805</v>
      </c>
      <c r="I123" s="448">
        <f t="shared" ref="I123:J123" si="13">SUM(I114:I122)</f>
        <v>0</v>
      </c>
      <c r="J123" s="448">
        <f t="shared" si="13"/>
        <v>-8574</v>
      </c>
      <c r="K123" s="447">
        <f>SUM(K114:K122)</f>
        <v>-3</v>
      </c>
      <c r="L123" s="447">
        <f t="shared" ref="L123:Z123" si="14">SUM(L114:L122)</f>
        <v>-4</v>
      </c>
      <c r="M123" s="447">
        <f t="shared" si="14"/>
        <v>-4</v>
      </c>
      <c r="N123" s="447">
        <f t="shared" si="14"/>
        <v>-4</v>
      </c>
      <c r="O123" s="447">
        <f t="shared" si="14"/>
        <v>-3</v>
      </c>
      <c r="P123" s="447">
        <f t="shared" si="14"/>
        <v>-1</v>
      </c>
      <c r="Q123" s="447">
        <f t="shared" si="14"/>
        <v>-3</v>
      </c>
      <c r="R123" s="447">
        <f t="shared" si="14"/>
        <v>-4</v>
      </c>
      <c r="S123" s="447">
        <f t="shared" si="14"/>
        <v>0</v>
      </c>
      <c r="T123" s="447">
        <f t="shared" si="14"/>
        <v>0</v>
      </c>
      <c r="U123" s="447">
        <f t="shared" si="14"/>
        <v>0</v>
      </c>
      <c r="V123" s="447">
        <f t="shared" si="14"/>
        <v>0</v>
      </c>
      <c r="W123" s="447">
        <f t="shared" si="14"/>
        <v>0</v>
      </c>
      <c r="X123" s="447">
        <f t="shared" si="14"/>
        <v>0</v>
      </c>
      <c r="Y123" s="447">
        <f t="shared" si="14"/>
        <v>0</v>
      </c>
      <c r="Z123" s="447">
        <f t="shared" si="14"/>
        <v>-26</v>
      </c>
    </row>
    <row r="125" spans="1:26" x14ac:dyDescent="0.25">
      <c r="A125" s="739" t="s">
        <v>1231</v>
      </c>
      <c r="B125" s="739"/>
    </row>
    <row r="126" spans="1:26" ht="30" x14ac:dyDescent="0.25">
      <c r="A126" s="570" t="s">
        <v>1</v>
      </c>
      <c r="B126" s="570" t="s">
        <v>59</v>
      </c>
      <c r="C126" s="425"/>
      <c r="D126" s="425"/>
      <c r="E126" s="425"/>
      <c r="F126" s="426"/>
      <c r="G126" s="432" t="s">
        <v>1225</v>
      </c>
      <c r="H126" s="427" t="s">
        <v>1224</v>
      </c>
      <c r="I126" s="427" t="s">
        <v>1498</v>
      </c>
      <c r="J126" s="427" t="s">
        <v>94</v>
      </c>
      <c r="K126" s="424" t="s">
        <v>681</v>
      </c>
      <c r="L126" s="424" t="s">
        <v>1496</v>
      </c>
      <c r="M126" s="424" t="s">
        <v>1497</v>
      </c>
      <c r="N126" s="424" t="s">
        <v>682</v>
      </c>
      <c r="O126" s="424" t="s">
        <v>683</v>
      </c>
      <c r="P126" s="424" t="s">
        <v>87</v>
      </c>
      <c r="Q126" s="424" t="s">
        <v>684</v>
      </c>
      <c r="R126" s="424" t="s">
        <v>685</v>
      </c>
      <c r="S126" s="424" t="s">
        <v>690</v>
      </c>
      <c r="T126" s="424" t="s">
        <v>686</v>
      </c>
      <c r="U126" s="424" t="s">
        <v>687</v>
      </c>
      <c r="V126" s="424" t="s">
        <v>688</v>
      </c>
      <c r="W126" s="424" t="s">
        <v>689</v>
      </c>
      <c r="X126" s="424" t="s">
        <v>138</v>
      </c>
      <c r="Y126" s="424" t="s">
        <v>1385</v>
      </c>
      <c r="Z126" s="424" t="s">
        <v>1238</v>
      </c>
    </row>
    <row r="127" spans="1:26" ht="15" customHeight="1" x14ac:dyDescent="0.25">
      <c r="A127" s="543" t="s">
        <v>1153</v>
      </c>
      <c r="B127" s="573" t="s">
        <v>115</v>
      </c>
      <c r="C127" s="487"/>
      <c r="D127" s="488"/>
      <c r="E127" s="486"/>
      <c r="F127" s="488"/>
      <c r="G127" s="486">
        <v>-3</v>
      </c>
      <c r="H127" s="539">
        <v>-4929</v>
      </c>
      <c r="I127" s="539">
        <v>0</v>
      </c>
      <c r="J127" s="539">
        <v>-1972</v>
      </c>
      <c r="K127" s="535">
        <v>-1</v>
      </c>
      <c r="L127" s="535"/>
      <c r="M127" s="535"/>
      <c r="N127" s="535">
        <v>-1</v>
      </c>
      <c r="O127" s="535"/>
      <c r="P127" s="535"/>
      <c r="Q127" s="535">
        <v>-1</v>
      </c>
      <c r="R127" s="535"/>
      <c r="S127" s="535"/>
      <c r="T127" s="535"/>
      <c r="U127" s="535"/>
      <c r="V127" s="535"/>
      <c r="W127" s="535"/>
      <c r="X127" s="535"/>
      <c r="Y127" s="535"/>
      <c r="Z127" s="535">
        <f t="shared" ref="Z127:Z131" si="15">SUM(K127:Y127)</f>
        <v>-3</v>
      </c>
    </row>
    <row r="128" spans="1:26" ht="15" customHeight="1" x14ac:dyDescent="0.25">
      <c r="A128" s="543" t="s">
        <v>1503</v>
      </c>
      <c r="B128" s="573" t="s">
        <v>1620</v>
      </c>
      <c r="C128" s="487"/>
      <c r="D128" s="488"/>
      <c r="E128" s="486"/>
      <c r="F128" s="488"/>
      <c r="G128" s="486">
        <v>-1</v>
      </c>
      <c r="H128" s="539">
        <v>-1643</v>
      </c>
      <c r="I128" s="539"/>
      <c r="J128" s="539">
        <v>-657</v>
      </c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>
        <v>-1</v>
      </c>
      <c r="W128" s="535"/>
      <c r="X128" s="535"/>
      <c r="Y128" s="535"/>
      <c r="Z128" s="535">
        <f t="shared" ref="Z128:Z129" si="16">SUM(K128:Y128)</f>
        <v>-1</v>
      </c>
    </row>
    <row r="129" spans="1:26" ht="15" customHeight="1" x14ac:dyDescent="0.25">
      <c r="A129" s="543" t="s">
        <v>245</v>
      </c>
      <c r="B129" s="573" t="s">
        <v>61</v>
      </c>
      <c r="C129" s="487"/>
      <c r="D129" s="488"/>
      <c r="E129" s="486"/>
      <c r="F129" s="488"/>
      <c r="G129" s="486">
        <v>-8</v>
      </c>
      <c r="H129" s="539">
        <v>-6516</v>
      </c>
      <c r="I129" s="539"/>
      <c r="J129" s="539">
        <v>-2606</v>
      </c>
      <c r="K129" s="535">
        <v>-1</v>
      </c>
      <c r="L129" s="535">
        <v>-1</v>
      </c>
      <c r="M129" s="535">
        <v>-1</v>
      </c>
      <c r="N129" s="535">
        <v>-1</v>
      </c>
      <c r="O129" s="535">
        <v>-1</v>
      </c>
      <c r="P129" s="535">
        <v>-1</v>
      </c>
      <c r="Q129" s="535">
        <v>-1</v>
      </c>
      <c r="R129" s="535">
        <v>-1</v>
      </c>
      <c r="S129" s="535"/>
      <c r="T129" s="535"/>
      <c r="U129" s="535"/>
      <c r="V129" s="535"/>
      <c r="W129" s="535"/>
      <c r="X129" s="535"/>
      <c r="Y129" s="535"/>
      <c r="Z129" s="535">
        <f t="shared" si="16"/>
        <v>-8</v>
      </c>
    </row>
    <row r="130" spans="1:26" ht="15" customHeight="1" x14ac:dyDescent="0.25">
      <c r="A130" s="531"/>
      <c r="B130" s="535"/>
      <c r="C130" s="487"/>
      <c r="D130" s="488"/>
      <c r="E130" s="486"/>
      <c r="F130" s="488"/>
      <c r="G130" s="486"/>
      <c r="H130" s="539"/>
      <c r="I130" s="539"/>
      <c r="J130" s="539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>
        <f t="shared" si="15"/>
        <v>0</v>
      </c>
    </row>
    <row r="131" spans="1:26" ht="15" customHeight="1" x14ac:dyDescent="0.25">
      <c r="A131" s="538"/>
      <c r="B131" s="535"/>
      <c r="C131" s="487"/>
      <c r="D131" s="488"/>
      <c r="E131" s="486"/>
      <c r="F131" s="488"/>
      <c r="G131" s="486"/>
      <c r="H131" s="539"/>
      <c r="I131" s="539"/>
      <c r="J131" s="539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>
        <f t="shared" si="15"/>
        <v>0</v>
      </c>
    </row>
    <row r="132" spans="1:26" ht="15" customHeight="1" x14ac:dyDescent="0.25">
      <c r="A132" s="443" t="s">
        <v>1230</v>
      </c>
      <c r="B132" s="444"/>
      <c r="C132" s="445"/>
      <c r="D132" s="446"/>
      <c r="E132" s="447"/>
      <c r="F132" s="446"/>
      <c r="G132" s="447">
        <f>SUM(G127:G131)</f>
        <v>-12</v>
      </c>
      <c r="H132" s="448">
        <f>SUM(H127:H131)</f>
        <v>-13088</v>
      </c>
      <c r="I132" s="448">
        <f t="shared" ref="I132:Z132" si="17">SUM(I127:I131)</f>
        <v>0</v>
      </c>
      <c r="J132" s="448">
        <f t="shared" si="17"/>
        <v>-5235</v>
      </c>
      <c r="K132" s="447">
        <f t="shared" si="17"/>
        <v>-2</v>
      </c>
      <c r="L132" s="447">
        <f t="shared" si="17"/>
        <v>-1</v>
      </c>
      <c r="M132" s="447">
        <f t="shared" si="17"/>
        <v>-1</v>
      </c>
      <c r="N132" s="447">
        <f t="shared" si="17"/>
        <v>-2</v>
      </c>
      <c r="O132" s="447">
        <f t="shared" si="17"/>
        <v>-1</v>
      </c>
      <c r="P132" s="447">
        <f t="shared" si="17"/>
        <v>-1</v>
      </c>
      <c r="Q132" s="447">
        <f t="shared" si="17"/>
        <v>-2</v>
      </c>
      <c r="R132" s="447">
        <f t="shared" si="17"/>
        <v>-1</v>
      </c>
      <c r="S132" s="447">
        <f t="shared" si="17"/>
        <v>0</v>
      </c>
      <c r="T132" s="447">
        <f t="shared" si="17"/>
        <v>0</v>
      </c>
      <c r="U132" s="447">
        <f t="shared" si="17"/>
        <v>0</v>
      </c>
      <c r="V132" s="447">
        <f t="shared" si="17"/>
        <v>-1</v>
      </c>
      <c r="W132" s="447">
        <f t="shared" si="17"/>
        <v>0</v>
      </c>
      <c r="X132" s="447"/>
      <c r="Y132" s="447"/>
      <c r="Z132" s="447">
        <f t="shared" si="17"/>
        <v>-12</v>
      </c>
    </row>
    <row r="133" spans="1:26" ht="15.75" thickBot="1" x14ac:dyDescent="0.3"/>
    <row r="134" spans="1:26" ht="15.75" thickBot="1" x14ac:dyDescent="0.3">
      <c r="A134" s="436" t="s">
        <v>1232</v>
      </c>
      <c r="B134" s="434"/>
      <c r="C134" s="434"/>
      <c r="D134" s="434"/>
      <c r="E134" s="434"/>
      <c r="F134" s="434"/>
      <c r="G134" s="437">
        <f t="shared" ref="G134:W134" si="18">G83+G98+G110+G123+G132</f>
        <v>-6</v>
      </c>
      <c r="H134" s="438">
        <f t="shared" si="18"/>
        <v>58052.75</v>
      </c>
      <c r="I134" s="438">
        <f t="shared" si="18"/>
        <v>56250</v>
      </c>
      <c r="J134" s="438">
        <f t="shared" si="18"/>
        <v>43495</v>
      </c>
      <c r="K134" s="450">
        <f t="shared" si="18"/>
        <v>4</v>
      </c>
      <c r="L134" s="450">
        <f t="shared" si="18"/>
        <v>-1</v>
      </c>
      <c r="M134" s="450">
        <f t="shared" si="18"/>
        <v>-1</v>
      </c>
      <c r="N134" s="450">
        <f t="shared" si="18"/>
        <v>0</v>
      </c>
      <c r="O134" s="450">
        <f t="shared" si="18"/>
        <v>1</v>
      </c>
      <c r="P134" s="450">
        <f t="shared" si="18"/>
        <v>5</v>
      </c>
      <c r="Q134" s="450">
        <f t="shared" si="18"/>
        <v>1</v>
      </c>
      <c r="R134" s="450">
        <f t="shared" si="18"/>
        <v>1</v>
      </c>
      <c r="S134" s="450">
        <f t="shared" si="18"/>
        <v>1</v>
      </c>
      <c r="T134" s="450">
        <f t="shared" si="18"/>
        <v>5</v>
      </c>
      <c r="U134" s="450">
        <f t="shared" si="18"/>
        <v>1</v>
      </c>
      <c r="V134" s="450">
        <f t="shared" si="18"/>
        <v>1</v>
      </c>
      <c r="W134" s="450">
        <f t="shared" si="18"/>
        <v>0</v>
      </c>
      <c r="X134" s="450"/>
      <c r="Y134" s="450"/>
      <c r="Z134" s="450">
        <f>Z83+Z98+Z110+Z123+Z132</f>
        <v>18</v>
      </c>
    </row>
    <row r="135" spans="1:26" ht="15.75" thickBot="1" x14ac:dyDescent="0.3">
      <c r="A135" s="436" t="s">
        <v>64</v>
      </c>
      <c r="B135" s="434"/>
      <c r="C135" s="434"/>
      <c r="D135" s="434"/>
      <c r="E135" s="434"/>
      <c r="F135" s="434"/>
      <c r="G135" s="437"/>
      <c r="H135" s="438"/>
      <c r="I135" s="438"/>
      <c r="J135" s="438"/>
    </row>
    <row r="136" spans="1:26" ht="15.75" thickBot="1" x14ac:dyDescent="0.3">
      <c r="A136" s="439" t="s">
        <v>452</v>
      </c>
      <c r="B136" s="440"/>
      <c r="C136" s="440"/>
      <c r="D136" s="440"/>
      <c r="E136" s="440"/>
      <c r="F136" s="440"/>
      <c r="G136" s="441"/>
      <c r="H136" s="442">
        <f>H134-H135</f>
        <v>58052.75</v>
      </c>
      <c r="I136" s="442"/>
      <c r="J136" s="442"/>
    </row>
    <row r="139" spans="1:26" x14ac:dyDescent="0.25">
      <c r="H139" s="435">
        <f>H83+H110+H123+H132</f>
        <v>-22915</v>
      </c>
      <c r="I139" s="435"/>
      <c r="J139" s="435"/>
    </row>
  </sheetData>
  <sortState ref="A87:Z97">
    <sortCondition ref="B87:B97"/>
  </sortState>
  <mergeCells count="8">
    <mergeCell ref="G3:H3"/>
    <mergeCell ref="A85:B85"/>
    <mergeCell ref="A100:B100"/>
    <mergeCell ref="A112:B112"/>
    <mergeCell ref="A125:B125"/>
    <mergeCell ref="A3:B3"/>
    <mergeCell ref="C3:D3"/>
    <mergeCell ref="E3:F3"/>
  </mergeCells>
  <pageMargins left="0.7" right="0.7" top="0.75" bottom="0.75" header="0.3" footer="0.3"/>
  <pageSetup scale="4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34"/>
  <sheetViews>
    <sheetView topLeftCell="A95" zoomScale="80" zoomScaleNormal="8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1356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70" t="s">
        <v>1</v>
      </c>
      <c r="B4" s="57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5" t="s">
        <v>320</v>
      </c>
      <c r="B5" s="530" t="s">
        <v>61</v>
      </c>
      <c r="C5" s="575">
        <v>5</v>
      </c>
      <c r="D5" s="542">
        <v>11104</v>
      </c>
      <c r="E5" s="535">
        <v>5</v>
      </c>
      <c r="F5" s="542">
        <v>10665</v>
      </c>
      <c r="G5" s="535">
        <f t="shared" ref="G5:G36" si="0">E5-C5</f>
        <v>0</v>
      </c>
      <c r="H5" s="542">
        <f t="shared" ref="H5:H36" si="1">F5-D5</f>
        <v>-439</v>
      </c>
      <c r="I5" s="542"/>
      <c r="J5" s="542">
        <v>3386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36" si="2">SUM(K5:Y5)</f>
        <v>0</v>
      </c>
    </row>
    <row r="6" spans="1:26" ht="14.45" customHeight="1" x14ac:dyDescent="0.25">
      <c r="A6" s="535" t="s">
        <v>331</v>
      </c>
      <c r="B6" s="530" t="s">
        <v>115</v>
      </c>
      <c r="C6" s="531">
        <v>4</v>
      </c>
      <c r="D6" s="542">
        <v>6572</v>
      </c>
      <c r="E6" s="535">
        <v>4</v>
      </c>
      <c r="F6" s="542">
        <v>6772</v>
      </c>
      <c r="G6" s="535">
        <f t="shared" si="0"/>
        <v>0</v>
      </c>
      <c r="H6" s="542">
        <f t="shared" si="1"/>
        <v>200</v>
      </c>
      <c r="I6" s="542"/>
      <c r="J6" s="542">
        <v>2709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2"/>
        <v>0</v>
      </c>
    </row>
    <row r="7" spans="1:26" ht="14.45" customHeight="1" x14ac:dyDescent="0.25">
      <c r="A7" s="535" t="s">
        <v>198</v>
      </c>
      <c r="B7" s="530" t="s">
        <v>115</v>
      </c>
      <c r="C7" s="531">
        <v>8</v>
      </c>
      <c r="D7" s="542">
        <v>13144</v>
      </c>
      <c r="E7" s="535">
        <v>8</v>
      </c>
      <c r="F7" s="542">
        <v>13544</v>
      </c>
      <c r="G7" s="535">
        <f t="shared" si="0"/>
        <v>0</v>
      </c>
      <c r="H7" s="542">
        <f t="shared" si="1"/>
        <v>400</v>
      </c>
      <c r="I7" s="542"/>
      <c r="J7" s="542">
        <v>4244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2"/>
        <v>0</v>
      </c>
    </row>
    <row r="8" spans="1:26" ht="14.45" customHeight="1" x14ac:dyDescent="0.25">
      <c r="A8" s="535" t="s">
        <v>26</v>
      </c>
      <c r="B8" s="530" t="s">
        <v>115</v>
      </c>
      <c r="C8" s="531">
        <v>8</v>
      </c>
      <c r="D8" s="542">
        <v>17450</v>
      </c>
      <c r="E8" s="535">
        <v>8</v>
      </c>
      <c r="F8" s="542">
        <v>17835</v>
      </c>
      <c r="G8" s="535">
        <f t="shared" si="0"/>
        <v>0</v>
      </c>
      <c r="H8" s="542">
        <f t="shared" si="1"/>
        <v>385</v>
      </c>
      <c r="I8" s="542"/>
      <c r="J8" s="542">
        <v>4000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2"/>
        <v>0</v>
      </c>
    </row>
    <row r="9" spans="1:26" ht="14.45" customHeight="1" x14ac:dyDescent="0.25">
      <c r="A9" s="535"/>
      <c r="B9" s="530"/>
      <c r="C9" s="531"/>
      <c r="D9" s="542"/>
      <c r="E9" s="531"/>
      <c r="F9" s="542"/>
      <c r="G9" s="535">
        <f t="shared" si="0"/>
        <v>0</v>
      </c>
      <c r="H9" s="542">
        <f t="shared" si="1"/>
        <v>0</v>
      </c>
      <c r="I9" s="542"/>
      <c r="J9" s="542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2"/>
        <v>0</v>
      </c>
    </row>
    <row r="10" spans="1:26" ht="14.45" customHeight="1" x14ac:dyDescent="0.25">
      <c r="A10" s="535" t="s">
        <v>359</v>
      </c>
      <c r="B10" s="530" t="s">
        <v>115</v>
      </c>
      <c r="C10" s="531">
        <v>8</v>
      </c>
      <c r="D10" s="542">
        <v>13701</v>
      </c>
      <c r="E10" s="535">
        <v>8</v>
      </c>
      <c r="F10" s="542">
        <v>15344</v>
      </c>
      <c r="G10" s="535">
        <f t="shared" si="0"/>
        <v>0</v>
      </c>
      <c r="H10" s="542">
        <f t="shared" si="1"/>
        <v>1643</v>
      </c>
      <c r="I10" s="542"/>
      <c r="J10" s="542">
        <v>5258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2"/>
        <v>0</v>
      </c>
    </row>
    <row r="11" spans="1:26" ht="14.45" customHeight="1" x14ac:dyDescent="0.25">
      <c r="A11" s="535" t="s">
        <v>279</v>
      </c>
      <c r="B11" s="530" t="s">
        <v>61</v>
      </c>
      <c r="C11" s="531">
        <v>3</v>
      </c>
      <c r="D11" s="542">
        <v>4929</v>
      </c>
      <c r="E11" s="535">
        <v>3</v>
      </c>
      <c r="F11" s="542">
        <v>5079</v>
      </c>
      <c r="G11" s="535">
        <f t="shared" si="0"/>
        <v>0</v>
      </c>
      <c r="H11" s="542">
        <f t="shared" si="1"/>
        <v>150</v>
      </c>
      <c r="I11" s="542"/>
      <c r="J11" s="542">
        <v>2032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2"/>
        <v>0</v>
      </c>
    </row>
    <row r="12" spans="1:26" ht="14.45" customHeight="1" x14ac:dyDescent="0.25">
      <c r="A12" s="535" t="s">
        <v>332</v>
      </c>
      <c r="B12" s="530" t="s">
        <v>115</v>
      </c>
      <c r="C12" s="531">
        <v>11</v>
      </c>
      <c r="D12" s="542">
        <v>11383.15</v>
      </c>
      <c r="E12" s="535">
        <v>11</v>
      </c>
      <c r="F12" s="542">
        <f>8597+1550</f>
        <v>10147</v>
      </c>
      <c r="G12" s="535">
        <f t="shared" si="0"/>
        <v>0</v>
      </c>
      <c r="H12" s="542">
        <f t="shared" si="1"/>
        <v>-1236.1499999999996</v>
      </c>
      <c r="I12" s="542"/>
      <c r="J12" s="542">
        <v>3160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2"/>
        <v>0</v>
      </c>
    </row>
    <row r="13" spans="1:26" ht="14.45" customHeight="1" x14ac:dyDescent="0.25">
      <c r="A13" s="535" t="s">
        <v>101</v>
      </c>
      <c r="B13" s="530" t="s">
        <v>115</v>
      </c>
      <c r="C13" s="531">
        <v>9</v>
      </c>
      <c r="D13" s="542">
        <v>10876.65</v>
      </c>
      <c r="E13" s="535">
        <v>9</v>
      </c>
      <c r="F13" s="542">
        <v>10865</v>
      </c>
      <c r="G13" s="535">
        <f t="shared" si="0"/>
        <v>0</v>
      </c>
      <c r="H13" s="542">
        <f t="shared" si="1"/>
        <v>-11.649999999999636</v>
      </c>
      <c r="I13" s="542"/>
      <c r="J13" s="542">
        <v>3160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2"/>
        <v>0</v>
      </c>
    </row>
    <row r="14" spans="1:26" ht="14.45" customHeight="1" x14ac:dyDescent="0.25">
      <c r="A14" s="535" t="s">
        <v>334</v>
      </c>
      <c r="B14" s="530" t="s">
        <v>115</v>
      </c>
      <c r="C14" s="531">
        <v>14</v>
      </c>
      <c r="D14" s="542">
        <v>25297.55</v>
      </c>
      <c r="E14" s="535">
        <v>14</v>
      </c>
      <c r="F14" s="542">
        <f>2200+18567+4650</f>
        <v>25417</v>
      </c>
      <c r="G14" s="535">
        <f t="shared" si="0"/>
        <v>0</v>
      </c>
      <c r="H14" s="542">
        <f t="shared" si="1"/>
        <v>119.45000000000073</v>
      </c>
      <c r="I14" s="542"/>
      <c r="J14" s="542">
        <v>3160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2"/>
        <v>0</v>
      </c>
    </row>
    <row r="15" spans="1:26" ht="14.45" customHeight="1" x14ac:dyDescent="0.25">
      <c r="A15" s="535" t="s">
        <v>102</v>
      </c>
      <c r="B15" s="530" t="s">
        <v>115</v>
      </c>
      <c r="C15" s="531">
        <v>2</v>
      </c>
      <c r="D15" s="542">
        <v>753.1</v>
      </c>
      <c r="E15" s="535">
        <v>2</v>
      </c>
      <c r="F15" s="542">
        <v>720</v>
      </c>
      <c r="G15" s="535">
        <f t="shared" si="0"/>
        <v>0</v>
      </c>
      <c r="H15" s="542">
        <f t="shared" si="1"/>
        <v>-33.100000000000023</v>
      </c>
      <c r="I15" s="542"/>
      <c r="J15" s="542">
        <v>288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2"/>
        <v>0</v>
      </c>
    </row>
    <row r="16" spans="1:26" ht="14.45" customHeight="1" x14ac:dyDescent="0.25">
      <c r="A16" s="535" t="s">
        <v>337</v>
      </c>
      <c r="B16" s="530" t="s">
        <v>115</v>
      </c>
      <c r="C16" s="531">
        <v>8</v>
      </c>
      <c r="D16" s="542">
        <v>6140.7000000000007</v>
      </c>
      <c r="E16" s="535">
        <v>8</v>
      </c>
      <c r="F16" s="542">
        <v>5878</v>
      </c>
      <c r="G16" s="535">
        <f t="shared" si="0"/>
        <v>0</v>
      </c>
      <c r="H16" s="542">
        <f t="shared" si="1"/>
        <v>-262.70000000000073</v>
      </c>
      <c r="I16" s="542"/>
      <c r="J16" s="542">
        <v>2351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2"/>
        <v>0</v>
      </c>
    </row>
    <row r="17" spans="1:26" ht="14.45" customHeight="1" x14ac:dyDescent="0.25">
      <c r="A17" s="535" t="s">
        <v>333</v>
      </c>
      <c r="B17" s="530" t="s">
        <v>115</v>
      </c>
      <c r="C17" s="531">
        <v>7</v>
      </c>
      <c r="D17" s="542">
        <v>6047.2</v>
      </c>
      <c r="E17" s="535">
        <v>7</v>
      </c>
      <c r="F17" s="542">
        <v>6153</v>
      </c>
      <c r="G17" s="535">
        <f t="shared" si="0"/>
        <v>0</v>
      </c>
      <c r="H17" s="542">
        <f t="shared" si="1"/>
        <v>105.80000000000018</v>
      </c>
      <c r="I17" s="542"/>
      <c r="J17" s="542">
        <v>2461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2"/>
        <v>0</v>
      </c>
    </row>
    <row r="18" spans="1:26" ht="14.45" customHeight="1" x14ac:dyDescent="0.25">
      <c r="A18" s="535" t="s">
        <v>244</v>
      </c>
      <c r="B18" s="530" t="s">
        <v>61</v>
      </c>
      <c r="C18" s="531">
        <v>9</v>
      </c>
      <c r="D18" s="542">
        <v>12419.3</v>
      </c>
      <c r="E18" s="535">
        <v>9</v>
      </c>
      <c r="F18" s="542">
        <v>13309</v>
      </c>
      <c r="G18" s="535">
        <f t="shared" si="0"/>
        <v>0</v>
      </c>
      <c r="H18" s="542">
        <f t="shared" si="1"/>
        <v>889.70000000000073</v>
      </c>
      <c r="I18" s="542"/>
      <c r="J18" s="542">
        <v>4000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2"/>
        <v>0</v>
      </c>
    </row>
    <row r="19" spans="1:26" ht="14.45" customHeight="1" x14ac:dyDescent="0.25">
      <c r="A19" s="531"/>
      <c r="B19" s="531"/>
      <c r="C19" s="576"/>
      <c r="D19" s="577"/>
      <c r="E19" s="576"/>
      <c r="F19" s="577"/>
      <c r="G19" s="535"/>
      <c r="H19" s="542"/>
      <c r="I19" s="542"/>
      <c r="J19" s="542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</row>
    <row r="20" spans="1:26" ht="14.45" customHeight="1" x14ac:dyDescent="0.25">
      <c r="A20" s="530"/>
      <c r="B20" s="530"/>
      <c r="C20" s="576"/>
      <c r="D20" s="577"/>
      <c r="E20" s="576"/>
      <c r="F20" s="577"/>
      <c r="G20" s="535"/>
      <c r="H20" s="542"/>
      <c r="I20" s="542"/>
      <c r="J20" s="542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</row>
    <row r="21" spans="1:26" ht="14.45" customHeight="1" x14ac:dyDescent="0.25">
      <c r="A21" s="531"/>
      <c r="B21" s="530"/>
      <c r="C21" s="576"/>
      <c r="D21" s="577"/>
      <c r="E21" s="576"/>
      <c r="F21" s="577"/>
      <c r="G21" s="535"/>
      <c r="H21" s="542"/>
      <c r="I21" s="542"/>
      <c r="J21" s="542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</row>
    <row r="22" spans="1:26" ht="14.45" customHeight="1" x14ac:dyDescent="0.25">
      <c r="A22" s="531"/>
      <c r="B22" s="530"/>
      <c r="C22" s="576"/>
      <c r="D22" s="577"/>
      <c r="E22" s="576"/>
      <c r="F22" s="577"/>
      <c r="G22" s="535"/>
      <c r="H22" s="542"/>
      <c r="I22" s="542"/>
      <c r="J22" s="542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</row>
    <row r="23" spans="1:26" ht="14.45" customHeight="1" x14ac:dyDescent="0.25">
      <c r="A23" s="530"/>
      <c r="B23" s="530"/>
      <c r="C23" s="576"/>
      <c r="D23" s="577"/>
      <c r="E23" s="576"/>
      <c r="F23" s="577"/>
      <c r="G23" s="535"/>
      <c r="H23" s="542"/>
      <c r="I23" s="542"/>
      <c r="J23" s="542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</row>
    <row r="24" spans="1:26" ht="14.45" customHeight="1" x14ac:dyDescent="0.25">
      <c r="A24" s="530"/>
      <c r="B24" s="530"/>
      <c r="C24" s="576"/>
      <c r="D24" s="577"/>
      <c r="E24" s="576"/>
      <c r="F24" s="577"/>
      <c r="G24" s="535"/>
      <c r="H24" s="542"/>
      <c r="I24" s="542"/>
      <c r="J24" s="542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</row>
    <row r="25" spans="1:26" ht="14.45" customHeight="1" x14ac:dyDescent="0.25">
      <c r="A25" s="530"/>
      <c r="B25" s="530"/>
      <c r="C25" s="576"/>
      <c r="D25" s="577"/>
      <c r="E25" s="576"/>
      <c r="F25" s="577"/>
      <c r="G25" s="535"/>
      <c r="H25" s="542"/>
      <c r="I25" s="542"/>
      <c r="J25" s="542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</row>
    <row r="26" spans="1:26" ht="14.45" customHeight="1" x14ac:dyDescent="0.25">
      <c r="A26" s="530" t="s">
        <v>312</v>
      </c>
      <c r="B26" s="530" t="s">
        <v>61</v>
      </c>
      <c r="C26" s="531">
        <v>4</v>
      </c>
      <c r="D26" s="542">
        <v>5232</v>
      </c>
      <c r="E26" s="535">
        <v>4</v>
      </c>
      <c r="F26" s="542">
        <v>4353</v>
      </c>
      <c r="G26" s="535">
        <f t="shared" si="0"/>
        <v>0</v>
      </c>
      <c r="H26" s="542">
        <f t="shared" si="1"/>
        <v>-879</v>
      </c>
      <c r="I26" s="542"/>
      <c r="J26" s="542">
        <v>1741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>
        <f t="shared" si="2"/>
        <v>0</v>
      </c>
    </row>
    <row r="27" spans="1:26" ht="14.45" customHeight="1" x14ac:dyDescent="0.25">
      <c r="A27" s="531" t="s">
        <v>1550</v>
      </c>
      <c r="B27" s="530" t="s">
        <v>115</v>
      </c>
      <c r="C27" s="531">
        <v>1</v>
      </c>
      <c r="D27" s="542">
        <v>1550</v>
      </c>
      <c r="E27" s="535">
        <v>1</v>
      </c>
      <c r="F27" s="542">
        <v>1550</v>
      </c>
      <c r="G27" s="535">
        <f t="shared" si="0"/>
        <v>0</v>
      </c>
      <c r="H27" s="542">
        <f t="shared" si="1"/>
        <v>0</v>
      </c>
      <c r="I27" s="542"/>
      <c r="J27" s="542">
        <v>0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2"/>
        <v>0</v>
      </c>
    </row>
    <row r="28" spans="1:26" ht="14.45" customHeight="1" x14ac:dyDescent="0.25">
      <c r="A28" s="536" t="s">
        <v>1614</v>
      </c>
      <c r="B28" s="530" t="s">
        <v>61</v>
      </c>
      <c r="C28" s="531">
        <v>8</v>
      </c>
      <c r="D28" s="542">
        <v>13144</v>
      </c>
      <c r="E28" s="535">
        <v>8</v>
      </c>
      <c r="F28" s="542">
        <v>13544</v>
      </c>
      <c r="G28" s="535">
        <f t="shared" si="0"/>
        <v>0</v>
      </c>
      <c r="H28" s="542">
        <f t="shared" si="1"/>
        <v>400</v>
      </c>
      <c r="I28" s="542"/>
      <c r="J28" s="542">
        <v>5418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2"/>
        <v>0</v>
      </c>
    </row>
    <row r="29" spans="1:26" ht="14.45" customHeight="1" x14ac:dyDescent="0.25">
      <c r="A29" s="531" t="s">
        <v>361</v>
      </c>
      <c r="B29" s="530" t="s">
        <v>115</v>
      </c>
      <c r="C29" s="531">
        <v>6</v>
      </c>
      <c r="D29" s="542">
        <v>9858</v>
      </c>
      <c r="E29" s="535">
        <v>6</v>
      </c>
      <c r="F29" s="542">
        <v>10158</v>
      </c>
      <c r="G29" s="535">
        <f t="shared" si="0"/>
        <v>0</v>
      </c>
      <c r="H29" s="542">
        <f t="shared" si="1"/>
        <v>300</v>
      </c>
      <c r="I29" s="542"/>
      <c r="J29" s="542">
        <v>4063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2"/>
        <v>0</v>
      </c>
    </row>
    <row r="30" spans="1:26" ht="14.45" customHeight="1" x14ac:dyDescent="0.25">
      <c r="A30" s="531" t="s">
        <v>323</v>
      </c>
      <c r="B30" s="530" t="s">
        <v>61</v>
      </c>
      <c r="C30" s="531">
        <v>9</v>
      </c>
      <c r="D30" s="542">
        <v>13421</v>
      </c>
      <c r="E30" s="535">
        <v>9</v>
      </c>
      <c r="F30" s="542">
        <v>12793</v>
      </c>
      <c r="G30" s="535">
        <f t="shared" si="0"/>
        <v>0</v>
      </c>
      <c r="H30" s="542">
        <f t="shared" si="1"/>
        <v>-628</v>
      </c>
      <c r="I30" s="542"/>
      <c r="J30" s="542">
        <v>4000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2"/>
        <v>0</v>
      </c>
    </row>
    <row r="31" spans="1:26" ht="14.45" customHeight="1" x14ac:dyDescent="0.25">
      <c r="A31" s="531" t="s">
        <v>1346</v>
      </c>
      <c r="B31" s="530" t="s">
        <v>61</v>
      </c>
      <c r="C31" s="531">
        <v>3</v>
      </c>
      <c r="D31" s="542">
        <v>4785</v>
      </c>
      <c r="E31" s="535">
        <v>3</v>
      </c>
      <c r="F31" s="542">
        <v>4929</v>
      </c>
      <c r="G31" s="535">
        <f t="shared" si="0"/>
        <v>0</v>
      </c>
      <c r="H31" s="542">
        <f t="shared" si="1"/>
        <v>144</v>
      </c>
      <c r="I31" s="542"/>
      <c r="J31" s="542">
        <v>1972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2"/>
        <v>0</v>
      </c>
    </row>
    <row r="32" spans="1:26" ht="14.45" customHeight="1" x14ac:dyDescent="0.25">
      <c r="A32" s="531" t="s">
        <v>1789</v>
      </c>
      <c r="B32" s="530" t="s">
        <v>61</v>
      </c>
      <c r="C32" s="531">
        <v>1</v>
      </c>
      <c r="D32" s="542">
        <v>443</v>
      </c>
      <c r="E32" s="535">
        <v>1</v>
      </c>
      <c r="F32" s="542">
        <v>456</v>
      </c>
      <c r="G32" s="535">
        <f t="shared" si="0"/>
        <v>0</v>
      </c>
      <c r="H32" s="542">
        <f t="shared" si="1"/>
        <v>13</v>
      </c>
      <c r="I32" s="542"/>
      <c r="J32" s="542">
        <v>182</v>
      </c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2"/>
        <v>0</v>
      </c>
    </row>
    <row r="33" spans="1:26" ht="14.45" customHeight="1" x14ac:dyDescent="0.25">
      <c r="A33" s="531" t="s">
        <v>1585</v>
      </c>
      <c r="B33" s="530" t="s">
        <v>115</v>
      </c>
      <c r="C33" s="531">
        <v>3</v>
      </c>
      <c r="D33" s="542">
        <v>4785</v>
      </c>
      <c r="E33" s="535">
        <v>3</v>
      </c>
      <c r="F33" s="542">
        <v>4929</v>
      </c>
      <c r="G33" s="535">
        <f t="shared" si="0"/>
        <v>0</v>
      </c>
      <c r="H33" s="542">
        <f t="shared" si="1"/>
        <v>144</v>
      </c>
      <c r="I33" s="542"/>
      <c r="J33" s="542">
        <v>1972</v>
      </c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2"/>
        <v>0</v>
      </c>
    </row>
    <row r="34" spans="1:26" ht="14.45" customHeight="1" x14ac:dyDescent="0.25">
      <c r="A34" s="531" t="s">
        <v>271</v>
      </c>
      <c r="B34" s="530" t="s">
        <v>61</v>
      </c>
      <c r="C34" s="531">
        <v>6</v>
      </c>
      <c r="D34" s="542">
        <v>8789</v>
      </c>
      <c r="E34" s="535">
        <v>6</v>
      </c>
      <c r="F34" s="542">
        <v>8480</v>
      </c>
      <c r="G34" s="535">
        <f t="shared" si="0"/>
        <v>0</v>
      </c>
      <c r="H34" s="542">
        <f t="shared" si="1"/>
        <v>-309</v>
      </c>
      <c r="I34" s="542"/>
      <c r="J34" s="542">
        <v>3392</v>
      </c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2"/>
        <v>0</v>
      </c>
    </row>
    <row r="35" spans="1:26" ht="14.45" customHeight="1" x14ac:dyDescent="0.25">
      <c r="A35" s="531" t="s">
        <v>230</v>
      </c>
      <c r="B35" s="530" t="s">
        <v>115</v>
      </c>
      <c r="C35" s="531">
        <v>8</v>
      </c>
      <c r="D35" s="542">
        <v>9114</v>
      </c>
      <c r="E35" s="535">
        <v>8</v>
      </c>
      <c r="F35" s="542">
        <v>6394</v>
      </c>
      <c r="G35" s="535">
        <f t="shared" si="0"/>
        <v>0</v>
      </c>
      <c r="H35" s="542">
        <f t="shared" si="1"/>
        <v>-2720</v>
      </c>
      <c r="I35" s="542"/>
      <c r="J35" s="542">
        <v>2557</v>
      </c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2"/>
        <v>0</v>
      </c>
    </row>
    <row r="36" spans="1:26" ht="14.45" customHeight="1" x14ac:dyDescent="0.25">
      <c r="A36" s="531" t="s">
        <v>229</v>
      </c>
      <c r="B36" s="530" t="s">
        <v>115</v>
      </c>
      <c r="C36" s="531">
        <v>8</v>
      </c>
      <c r="D36" s="542">
        <v>13220.1</v>
      </c>
      <c r="E36" s="535">
        <v>8</v>
      </c>
      <c r="F36" s="542">
        <v>14032</v>
      </c>
      <c r="G36" s="535">
        <f t="shared" si="0"/>
        <v>0</v>
      </c>
      <c r="H36" s="542">
        <f t="shared" si="1"/>
        <v>811.89999999999964</v>
      </c>
      <c r="I36" s="542"/>
      <c r="J36" s="542">
        <v>4000</v>
      </c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2"/>
        <v>0</v>
      </c>
    </row>
    <row r="37" spans="1:26" ht="14.45" customHeight="1" x14ac:dyDescent="0.25">
      <c r="A37" s="531" t="s">
        <v>292</v>
      </c>
      <c r="B37" s="530" t="s">
        <v>115</v>
      </c>
      <c r="C37" s="531">
        <v>2</v>
      </c>
      <c r="D37" s="542">
        <v>3890</v>
      </c>
      <c r="E37" s="535">
        <v>2</v>
      </c>
      <c r="F37" s="542">
        <v>4006</v>
      </c>
      <c r="G37" s="535">
        <f t="shared" ref="G37:G68" si="3">E37-C37</f>
        <v>0</v>
      </c>
      <c r="H37" s="542">
        <f t="shared" ref="H37:H68" si="4">F37-D37</f>
        <v>116</v>
      </c>
      <c r="I37" s="542"/>
      <c r="J37" s="542">
        <v>1602</v>
      </c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ref="Z37:Z68" si="5">SUM(K37:Y37)</f>
        <v>0</v>
      </c>
    </row>
    <row r="38" spans="1:26" ht="14.45" customHeight="1" x14ac:dyDescent="0.25">
      <c r="A38" s="530" t="s">
        <v>1587</v>
      </c>
      <c r="B38" s="530" t="s">
        <v>61</v>
      </c>
      <c r="C38" s="531">
        <v>6</v>
      </c>
      <c r="D38" s="542">
        <v>11770</v>
      </c>
      <c r="E38" s="535">
        <v>6</v>
      </c>
      <c r="F38" s="542">
        <v>12058</v>
      </c>
      <c r="G38" s="535">
        <f t="shared" si="3"/>
        <v>0</v>
      </c>
      <c r="H38" s="542">
        <f t="shared" si="4"/>
        <v>288</v>
      </c>
      <c r="I38" s="542"/>
      <c r="J38" s="542">
        <v>3943</v>
      </c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5"/>
        <v>0</v>
      </c>
    </row>
    <row r="39" spans="1:26" ht="14.45" customHeight="1" x14ac:dyDescent="0.25">
      <c r="A39" s="530" t="s">
        <v>1574</v>
      </c>
      <c r="B39" s="530" t="s">
        <v>115</v>
      </c>
      <c r="C39" s="531">
        <v>8</v>
      </c>
      <c r="D39" s="542">
        <v>13144</v>
      </c>
      <c r="E39" s="535">
        <v>8</v>
      </c>
      <c r="F39" s="542">
        <f>15237-1693</f>
        <v>13544</v>
      </c>
      <c r="G39" s="535">
        <f t="shared" si="3"/>
        <v>0</v>
      </c>
      <c r="H39" s="542">
        <f t="shared" si="4"/>
        <v>400</v>
      </c>
      <c r="I39" s="542"/>
      <c r="J39" s="542">
        <f>6095-677</f>
        <v>5418</v>
      </c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5"/>
        <v>0</v>
      </c>
    </row>
    <row r="40" spans="1:26" ht="14.45" customHeight="1" x14ac:dyDescent="0.25">
      <c r="A40" s="531"/>
      <c r="B40" s="531"/>
      <c r="C40" s="531"/>
      <c r="D40" s="542"/>
      <c r="E40" s="531"/>
      <c r="F40" s="542"/>
      <c r="G40" s="535">
        <f t="shared" si="3"/>
        <v>0</v>
      </c>
      <c r="H40" s="542">
        <f t="shared" si="4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5"/>
        <v>0</v>
      </c>
    </row>
    <row r="41" spans="1:26" ht="14.45" customHeight="1" x14ac:dyDescent="0.25">
      <c r="A41" s="530"/>
      <c r="B41" s="530"/>
      <c r="C41" s="531"/>
      <c r="D41" s="542"/>
      <c r="E41" s="535"/>
      <c r="F41" s="542"/>
      <c r="G41" s="535">
        <f t="shared" si="3"/>
        <v>0</v>
      </c>
      <c r="H41" s="542">
        <f t="shared" si="4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5"/>
        <v>0</v>
      </c>
    </row>
    <row r="42" spans="1:26" ht="14.45" customHeight="1" x14ac:dyDescent="0.25">
      <c r="A42" s="530"/>
      <c r="B42" s="530"/>
      <c r="C42" s="531"/>
      <c r="D42" s="542"/>
      <c r="E42" s="535"/>
      <c r="F42" s="542"/>
      <c r="G42" s="535">
        <f t="shared" si="3"/>
        <v>0</v>
      </c>
      <c r="H42" s="542">
        <f t="shared" si="4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5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3"/>
        <v>0</v>
      </c>
      <c r="H43" s="542">
        <f t="shared" si="4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5"/>
        <v>0</v>
      </c>
    </row>
    <row r="44" spans="1:26" ht="15" hidden="1" customHeight="1" x14ac:dyDescent="0.25">
      <c r="A44" s="530"/>
      <c r="B44" s="530"/>
      <c r="C44" s="531"/>
      <c r="D44" s="542"/>
      <c r="E44" s="535"/>
      <c r="F44" s="542"/>
      <c r="G44" s="535">
        <f t="shared" si="3"/>
        <v>0</v>
      </c>
      <c r="H44" s="542">
        <f t="shared" si="4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5"/>
        <v>0</v>
      </c>
    </row>
    <row r="45" spans="1:26" ht="15" hidden="1" customHeight="1" x14ac:dyDescent="0.25">
      <c r="A45" s="530"/>
      <c r="B45" s="530"/>
      <c r="C45" s="530"/>
      <c r="D45" s="542"/>
      <c r="E45" s="535"/>
      <c r="F45" s="542"/>
      <c r="G45" s="535">
        <f t="shared" si="3"/>
        <v>0</v>
      </c>
      <c r="H45" s="542">
        <f t="shared" si="4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5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3"/>
        <v>0</v>
      </c>
      <c r="H46" s="542">
        <f t="shared" si="4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5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3"/>
        <v>0</v>
      </c>
      <c r="H47" s="542">
        <f t="shared" si="4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5"/>
        <v>0</v>
      </c>
    </row>
    <row r="48" spans="1:26" ht="15" hidden="1" customHeight="1" x14ac:dyDescent="0.25">
      <c r="A48" s="530"/>
      <c r="B48" s="530"/>
      <c r="C48" s="531"/>
      <c r="D48" s="542"/>
      <c r="E48" s="535"/>
      <c r="F48" s="542"/>
      <c r="G48" s="535">
        <f t="shared" si="3"/>
        <v>0</v>
      </c>
      <c r="H48" s="542">
        <f t="shared" si="4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5"/>
        <v>0</v>
      </c>
    </row>
    <row r="49" spans="1:26" ht="15" hidden="1" customHeight="1" x14ac:dyDescent="0.25">
      <c r="A49" s="537"/>
      <c r="B49" s="530"/>
      <c r="C49" s="531"/>
      <c r="D49" s="542"/>
      <c r="E49" s="535"/>
      <c r="F49" s="542"/>
      <c r="G49" s="535">
        <f t="shared" si="3"/>
        <v>0</v>
      </c>
      <c r="H49" s="542">
        <f t="shared" si="4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5"/>
        <v>0</v>
      </c>
    </row>
    <row r="50" spans="1:26" ht="15" hidden="1" customHeight="1" x14ac:dyDescent="0.25">
      <c r="A50" s="531"/>
      <c r="B50" s="530"/>
      <c r="C50" s="531"/>
      <c r="D50" s="542"/>
      <c r="E50" s="535"/>
      <c r="F50" s="542"/>
      <c r="G50" s="535">
        <f t="shared" si="3"/>
        <v>0</v>
      </c>
      <c r="H50" s="542">
        <f t="shared" si="4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5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3"/>
        <v>0</v>
      </c>
      <c r="H51" s="542">
        <f t="shared" si="4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5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3"/>
        <v>0</v>
      </c>
      <c r="H52" s="542">
        <f t="shared" si="4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5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3"/>
        <v>0</v>
      </c>
      <c r="H53" s="542">
        <f t="shared" si="4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5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3"/>
        <v>0</v>
      </c>
      <c r="H54" s="542">
        <f t="shared" si="4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5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3"/>
        <v>0</v>
      </c>
      <c r="H55" s="542">
        <f t="shared" si="4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5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3"/>
        <v>0</v>
      </c>
      <c r="H56" s="542">
        <f t="shared" si="4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5"/>
        <v>0</v>
      </c>
    </row>
    <row r="57" spans="1:26" ht="15" hidden="1" customHeight="1" x14ac:dyDescent="0.25">
      <c r="A57" s="530"/>
      <c r="B57" s="530"/>
      <c r="C57" s="530"/>
      <c r="D57" s="542"/>
      <c r="E57" s="530"/>
      <c r="F57" s="542"/>
      <c r="G57" s="535">
        <f t="shared" si="3"/>
        <v>0</v>
      </c>
      <c r="H57" s="542">
        <f t="shared" si="4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5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3"/>
        <v>0</v>
      </c>
      <c r="H58" s="542">
        <f t="shared" si="4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5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3"/>
        <v>0</v>
      </c>
      <c r="H59" s="542">
        <f t="shared" si="4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5"/>
        <v>0</v>
      </c>
    </row>
    <row r="60" spans="1:26" ht="15" hidden="1" customHeight="1" x14ac:dyDescent="0.25">
      <c r="A60" s="530"/>
      <c r="B60" s="530"/>
      <c r="C60" s="531"/>
      <c r="D60" s="542"/>
      <c r="E60" s="531"/>
      <c r="F60" s="542"/>
      <c r="G60" s="535">
        <f t="shared" si="3"/>
        <v>0</v>
      </c>
      <c r="H60" s="542">
        <f t="shared" si="4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5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3"/>
        <v>0</v>
      </c>
      <c r="H61" s="542">
        <f t="shared" si="4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5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3"/>
        <v>0</v>
      </c>
      <c r="H62" s="542">
        <f t="shared" si="4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5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3"/>
        <v>0</v>
      </c>
      <c r="H63" s="542">
        <f t="shared" si="4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5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3"/>
        <v>0</v>
      </c>
      <c r="H64" s="542">
        <f t="shared" si="4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5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3"/>
        <v>0</v>
      </c>
      <c r="H65" s="542">
        <f t="shared" si="4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5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3"/>
        <v>0</v>
      </c>
      <c r="H66" s="542">
        <f t="shared" si="4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5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3"/>
        <v>0</v>
      </c>
      <c r="H67" s="542">
        <f t="shared" si="4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5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si="3"/>
        <v>0</v>
      </c>
      <c r="H68" s="542">
        <f t="shared" si="4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si="5"/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ref="G69:G83" si="6">E69-C69</f>
        <v>0</v>
      </c>
      <c r="H69" s="542">
        <f t="shared" ref="H69:H83" si="7">F69-D69</f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ref="Z69:Z83" si="8">SUM(K69:Y69)</f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6"/>
        <v>0</v>
      </c>
      <c r="H70" s="542">
        <f t="shared" si="7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8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6"/>
        <v>0</v>
      </c>
      <c r="H71" s="542">
        <f t="shared" si="7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8"/>
        <v>0</v>
      </c>
    </row>
    <row r="72" spans="1:26" ht="15" hidden="1" customHeight="1" x14ac:dyDescent="0.25">
      <c r="A72" s="530"/>
      <c r="B72" s="530"/>
      <c r="C72" s="531"/>
      <c r="D72" s="542"/>
      <c r="E72" s="535"/>
      <c r="F72" s="542"/>
      <c r="G72" s="535">
        <f t="shared" si="6"/>
        <v>0</v>
      </c>
      <c r="H72" s="542">
        <f t="shared" si="7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8"/>
        <v>0</v>
      </c>
    </row>
    <row r="73" spans="1:26" ht="15" hidden="1" customHeight="1" x14ac:dyDescent="0.25">
      <c r="A73" s="534"/>
      <c r="B73" s="530"/>
      <c r="C73" s="531"/>
      <c r="D73" s="542"/>
      <c r="E73" s="535"/>
      <c r="F73" s="542"/>
      <c r="G73" s="535">
        <f t="shared" si="6"/>
        <v>0</v>
      </c>
      <c r="H73" s="542">
        <f t="shared" si="7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8"/>
        <v>0</v>
      </c>
    </row>
    <row r="74" spans="1:26" ht="15" hidden="1" customHeight="1" x14ac:dyDescent="0.25">
      <c r="A74" s="530"/>
      <c r="B74" s="530"/>
      <c r="C74" s="531"/>
      <c r="D74" s="542"/>
      <c r="E74" s="535"/>
      <c r="F74" s="542"/>
      <c r="G74" s="535">
        <f t="shared" si="6"/>
        <v>0</v>
      </c>
      <c r="H74" s="542">
        <f t="shared" si="7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8"/>
        <v>0</v>
      </c>
    </row>
    <row r="75" spans="1:26" ht="15" hidden="1" customHeight="1" x14ac:dyDescent="0.25">
      <c r="A75" s="534"/>
      <c r="B75" s="530"/>
      <c r="C75" s="531"/>
      <c r="D75" s="542"/>
      <c r="E75" s="535"/>
      <c r="F75" s="542"/>
      <c r="G75" s="535">
        <f t="shared" si="6"/>
        <v>0</v>
      </c>
      <c r="H75" s="542">
        <f t="shared" si="7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8"/>
        <v>0</v>
      </c>
    </row>
    <row r="76" spans="1:26" ht="15" hidden="1" customHeight="1" x14ac:dyDescent="0.25">
      <c r="A76" s="530"/>
      <c r="B76" s="530"/>
      <c r="C76" s="531"/>
      <c r="D76" s="542"/>
      <c r="E76" s="535"/>
      <c r="F76" s="542"/>
      <c r="G76" s="535">
        <f t="shared" si="6"/>
        <v>0</v>
      </c>
      <c r="H76" s="542">
        <f t="shared" si="7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8"/>
        <v>0</v>
      </c>
    </row>
    <row r="77" spans="1:26" ht="15" hidden="1" customHeight="1" x14ac:dyDescent="0.25">
      <c r="A77" s="533"/>
      <c r="B77" s="530"/>
      <c r="C77" s="531"/>
      <c r="D77" s="542"/>
      <c r="E77" s="535"/>
      <c r="F77" s="542"/>
      <c r="G77" s="535">
        <f t="shared" si="6"/>
        <v>0</v>
      </c>
      <c r="H77" s="542">
        <f t="shared" si="7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8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6"/>
        <v>0</v>
      </c>
      <c r="H78" s="542">
        <f t="shared" si="7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8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6"/>
        <v>0</v>
      </c>
      <c r="H79" s="542">
        <f t="shared" si="7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8"/>
        <v>0</v>
      </c>
    </row>
    <row r="80" spans="1:26" ht="15" hidden="1" customHeight="1" x14ac:dyDescent="0.25">
      <c r="A80" s="530"/>
      <c r="B80" s="530"/>
      <c r="C80" s="531"/>
      <c r="D80" s="542"/>
      <c r="E80" s="535"/>
      <c r="F80" s="542"/>
      <c r="G80" s="535">
        <f t="shared" si="6"/>
        <v>0</v>
      </c>
      <c r="H80" s="542">
        <f t="shared" si="7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8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6"/>
        <v>0</v>
      </c>
      <c r="H81" s="542">
        <f t="shared" si="7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8"/>
        <v>0</v>
      </c>
    </row>
    <row r="82" spans="1:26" ht="15" hidden="1" customHeight="1" x14ac:dyDescent="0.25">
      <c r="A82" s="530"/>
      <c r="B82" s="530"/>
      <c r="C82" s="530"/>
      <c r="D82" s="542"/>
      <c r="E82" s="535"/>
      <c r="F82" s="542"/>
      <c r="G82" s="535">
        <f t="shared" si="6"/>
        <v>0</v>
      </c>
      <c r="H82" s="542">
        <f t="shared" si="7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8"/>
        <v>0</v>
      </c>
    </row>
    <row r="83" spans="1:26" ht="15" customHeight="1" x14ac:dyDescent="0.25">
      <c r="A83" s="535"/>
      <c r="B83" s="535"/>
      <c r="C83" s="535"/>
      <c r="D83" s="542"/>
      <c r="E83" s="535"/>
      <c r="F83" s="542"/>
      <c r="G83" s="535">
        <f t="shared" si="6"/>
        <v>0</v>
      </c>
      <c r="H83" s="542">
        <f t="shared" si="7"/>
        <v>0</v>
      </c>
      <c r="I83" s="542"/>
      <c r="J83" s="542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>
        <f t="shared" si="8"/>
        <v>0</v>
      </c>
    </row>
    <row r="84" spans="1:26" ht="15" customHeight="1" x14ac:dyDescent="0.25">
      <c r="A84" s="443" t="s">
        <v>1221</v>
      </c>
      <c r="B84" s="444"/>
      <c r="C84" s="447">
        <f t="shared" ref="C84:Z84" si="9">SUM(C5:C83)</f>
        <v>169</v>
      </c>
      <c r="D84" s="466">
        <f t="shared" si="9"/>
        <v>252962.75</v>
      </c>
      <c r="E84" s="447">
        <f t="shared" si="9"/>
        <v>169</v>
      </c>
      <c r="F84" s="466">
        <f t="shared" si="9"/>
        <v>252954</v>
      </c>
      <c r="G84" s="447">
        <f t="shared" si="9"/>
        <v>0</v>
      </c>
      <c r="H84" s="466">
        <f t="shared" si="9"/>
        <v>-8.7499999999986358</v>
      </c>
      <c r="I84" s="448">
        <f t="shared" si="9"/>
        <v>0</v>
      </c>
      <c r="J84" s="447">
        <f t="shared" si="9"/>
        <v>80469</v>
      </c>
      <c r="K84" s="448">
        <f t="shared" si="9"/>
        <v>0</v>
      </c>
      <c r="L84" s="447">
        <f t="shared" si="9"/>
        <v>0</v>
      </c>
      <c r="M84" s="447">
        <f t="shared" si="9"/>
        <v>0</v>
      </c>
      <c r="N84" s="447">
        <f t="shared" si="9"/>
        <v>0</v>
      </c>
      <c r="O84" s="447">
        <f t="shared" si="9"/>
        <v>0</v>
      </c>
      <c r="P84" s="447">
        <f t="shared" si="9"/>
        <v>0</v>
      </c>
      <c r="Q84" s="447">
        <f t="shared" si="9"/>
        <v>0</v>
      </c>
      <c r="R84" s="447">
        <f t="shared" si="9"/>
        <v>0</v>
      </c>
      <c r="S84" s="447">
        <f t="shared" si="9"/>
        <v>0</v>
      </c>
      <c r="T84" s="447">
        <f t="shared" si="9"/>
        <v>0</v>
      </c>
      <c r="U84" s="447">
        <f t="shared" si="9"/>
        <v>0</v>
      </c>
      <c r="V84" s="447">
        <f t="shared" si="9"/>
        <v>0</v>
      </c>
      <c r="W84" s="447">
        <f t="shared" si="9"/>
        <v>0</v>
      </c>
      <c r="X84" s="447">
        <f t="shared" si="9"/>
        <v>0</v>
      </c>
      <c r="Y84" s="447">
        <f t="shared" si="9"/>
        <v>0</v>
      </c>
      <c r="Z84" s="447">
        <f t="shared" si="9"/>
        <v>0</v>
      </c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ht="30.6" customHeight="1" x14ac:dyDescent="0.25">
      <c r="A88" s="543" t="s">
        <v>1775</v>
      </c>
      <c r="B88" s="496" t="s">
        <v>115</v>
      </c>
      <c r="C88" s="497">
        <v>42727</v>
      </c>
      <c r="D88" s="498">
        <v>42898</v>
      </c>
      <c r="E88" s="499">
        <v>199</v>
      </c>
      <c r="F88" s="498">
        <v>42891</v>
      </c>
      <c r="G88" s="499">
        <v>1</v>
      </c>
      <c r="H88" s="554">
        <v>1693</v>
      </c>
      <c r="I88" s="554">
        <v>5000</v>
      </c>
      <c r="J88" s="554">
        <v>677</v>
      </c>
      <c r="K88" s="496"/>
      <c r="L88" s="496"/>
      <c r="M88" s="496"/>
      <c r="N88" s="496">
        <v>1</v>
      </c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>
        <f>SUM(K88:Y88)</f>
        <v>1</v>
      </c>
    </row>
    <row r="89" spans="1:26" ht="31.15" customHeight="1" x14ac:dyDescent="0.25">
      <c r="A89" s="543" t="s">
        <v>1783</v>
      </c>
      <c r="B89" s="535" t="s">
        <v>115</v>
      </c>
      <c r="C89" s="487">
        <v>42823</v>
      </c>
      <c r="D89" s="488">
        <v>42899</v>
      </c>
      <c r="E89" s="486">
        <v>74</v>
      </c>
      <c r="F89" s="488">
        <v>42898</v>
      </c>
      <c r="G89" s="486">
        <v>1</v>
      </c>
      <c r="H89" s="539">
        <v>1693</v>
      </c>
      <c r="I89" s="539">
        <v>2500</v>
      </c>
      <c r="J89" s="539">
        <v>677</v>
      </c>
      <c r="K89" s="535"/>
      <c r="L89" s="535"/>
      <c r="M89" s="535"/>
      <c r="N89" s="535"/>
      <c r="O89" s="535"/>
      <c r="P89" s="535"/>
      <c r="Q89" s="535">
        <v>1</v>
      </c>
      <c r="R89" s="535"/>
      <c r="S89" s="535"/>
      <c r="T89" s="535"/>
      <c r="U89" s="535"/>
      <c r="V89" s="535"/>
      <c r="W89" s="535"/>
      <c r="X89" s="535"/>
      <c r="Y89" s="535"/>
      <c r="Z89" s="496">
        <f>SUM(K89:Y89)</f>
        <v>1</v>
      </c>
    </row>
    <row r="90" spans="1:26" ht="29.45" customHeight="1" x14ac:dyDescent="0.25">
      <c r="A90" s="543" t="s">
        <v>1785</v>
      </c>
      <c r="B90" s="535" t="s">
        <v>115</v>
      </c>
      <c r="C90" s="487">
        <v>42787</v>
      </c>
      <c r="D90" s="488">
        <v>42898</v>
      </c>
      <c r="E90" s="486">
        <v>111</v>
      </c>
      <c r="F90" s="488">
        <v>42887</v>
      </c>
      <c r="G90" s="486">
        <v>8</v>
      </c>
      <c r="H90" s="539">
        <f>12487+2200</f>
        <v>14687</v>
      </c>
      <c r="I90" s="539">
        <f>4750+2800</f>
        <v>7550</v>
      </c>
      <c r="J90" s="539">
        <v>4995</v>
      </c>
      <c r="K90" s="535">
        <v>1</v>
      </c>
      <c r="L90" s="535">
        <v>1</v>
      </c>
      <c r="M90" s="535">
        <v>1</v>
      </c>
      <c r="N90" s="535">
        <v>1</v>
      </c>
      <c r="O90" s="535"/>
      <c r="P90" s="535">
        <v>1</v>
      </c>
      <c r="Q90" s="535">
        <v>1</v>
      </c>
      <c r="R90" s="535">
        <v>1</v>
      </c>
      <c r="S90" s="535">
        <v>1</v>
      </c>
      <c r="T90" s="535"/>
      <c r="U90" s="535"/>
      <c r="V90" s="535"/>
      <c r="W90" s="535"/>
      <c r="X90" s="535"/>
      <c r="Y90" s="535"/>
      <c r="Z90" s="496">
        <f>SUM(K90:Y90)</f>
        <v>8</v>
      </c>
    </row>
    <row r="91" spans="1:26" ht="15" customHeight="1" x14ac:dyDescent="0.25">
      <c r="A91" s="543" t="s">
        <v>1786</v>
      </c>
      <c r="B91" s="535" t="s">
        <v>115</v>
      </c>
      <c r="C91" s="487">
        <v>42787</v>
      </c>
      <c r="D91" s="488">
        <v>42898</v>
      </c>
      <c r="E91" s="486">
        <v>111</v>
      </c>
      <c r="F91" s="488">
        <v>42887</v>
      </c>
      <c r="G91" s="486">
        <v>4</v>
      </c>
      <c r="H91" s="539">
        <f>6243+2200</f>
        <v>8443</v>
      </c>
      <c r="I91" s="539">
        <f>4750+2800</f>
        <v>7550</v>
      </c>
      <c r="J91" s="539">
        <v>2497</v>
      </c>
      <c r="K91" s="535">
        <v>1</v>
      </c>
      <c r="L91" s="535">
        <v>1</v>
      </c>
      <c r="M91" s="535"/>
      <c r="N91" s="535">
        <v>1</v>
      </c>
      <c r="O91" s="535"/>
      <c r="P91" s="535"/>
      <c r="Q91" s="535">
        <v>1</v>
      </c>
      <c r="R91" s="535"/>
      <c r="S91" s="535"/>
      <c r="T91" s="535"/>
      <c r="U91" s="535"/>
      <c r="V91" s="535"/>
      <c r="W91" s="535"/>
      <c r="X91" s="535"/>
      <c r="Y91" s="535"/>
      <c r="Z91" s="496">
        <f>SUM(K91:Y91)</f>
        <v>4</v>
      </c>
    </row>
    <row r="92" spans="1:26" ht="15" customHeight="1" x14ac:dyDescent="0.25">
      <c r="A92" s="543" t="s">
        <v>1790</v>
      </c>
      <c r="B92" s="535" t="s">
        <v>115</v>
      </c>
      <c r="C92" s="487">
        <v>42787</v>
      </c>
      <c r="D92" s="488">
        <v>42914</v>
      </c>
      <c r="E92" s="486">
        <v>127</v>
      </c>
      <c r="F92" s="488">
        <v>42887</v>
      </c>
      <c r="G92" s="486">
        <v>1</v>
      </c>
      <c r="H92" s="539">
        <v>1693</v>
      </c>
      <c r="I92" s="539">
        <v>3750</v>
      </c>
      <c r="J92" s="539">
        <v>677</v>
      </c>
      <c r="K92" s="535"/>
      <c r="L92" s="535"/>
      <c r="M92" s="535"/>
      <c r="N92" s="535"/>
      <c r="O92" s="535"/>
      <c r="P92" s="535">
        <v>1</v>
      </c>
      <c r="Q92" s="535"/>
      <c r="R92" s="535"/>
      <c r="S92" s="535"/>
      <c r="T92" s="535"/>
      <c r="U92" s="535"/>
      <c r="V92" s="535"/>
      <c r="W92" s="535"/>
      <c r="X92" s="535"/>
      <c r="Y92" s="535"/>
      <c r="Z92" s="496">
        <f>SUM(K92:Y92)</f>
        <v>1</v>
      </c>
    </row>
    <row r="95" spans="1:26" ht="15" customHeight="1" x14ac:dyDescent="0.25">
      <c r="A95" s="443" t="s">
        <v>1226</v>
      </c>
      <c r="B95" s="444"/>
      <c r="C95" s="445"/>
      <c r="D95" s="446"/>
      <c r="E95" s="447"/>
      <c r="F95" s="446"/>
      <c r="G95" s="447">
        <f>SUM('Jul17'!G89:G90)</f>
        <v>2</v>
      </c>
      <c r="H95" s="448">
        <f t="shared" ref="H95:Z95" si="10">SUM(H88:H92)</f>
        <v>28209</v>
      </c>
      <c r="I95" s="448">
        <f t="shared" si="10"/>
        <v>26350</v>
      </c>
      <c r="J95" s="448">
        <f t="shared" si="10"/>
        <v>9523</v>
      </c>
      <c r="K95" s="447">
        <f t="shared" si="10"/>
        <v>2</v>
      </c>
      <c r="L95" s="447">
        <f t="shared" si="10"/>
        <v>2</v>
      </c>
      <c r="M95" s="447">
        <f t="shared" si="10"/>
        <v>1</v>
      </c>
      <c r="N95" s="447">
        <f t="shared" si="10"/>
        <v>3</v>
      </c>
      <c r="O95" s="447">
        <f t="shared" si="10"/>
        <v>0</v>
      </c>
      <c r="P95" s="447">
        <f t="shared" si="10"/>
        <v>2</v>
      </c>
      <c r="Q95" s="447">
        <f t="shared" si="10"/>
        <v>3</v>
      </c>
      <c r="R95" s="447">
        <f t="shared" si="10"/>
        <v>1</v>
      </c>
      <c r="S95" s="447">
        <f t="shared" si="10"/>
        <v>1</v>
      </c>
      <c r="T95" s="447">
        <f t="shared" si="10"/>
        <v>0</v>
      </c>
      <c r="U95" s="447">
        <f t="shared" si="10"/>
        <v>0</v>
      </c>
      <c r="V95" s="447">
        <f t="shared" si="10"/>
        <v>0</v>
      </c>
      <c r="W95" s="447">
        <f t="shared" si="10"/>
        <v>0</v>
      </c>
      <c r="X95" s="447">
        <f t="shared" si="10"/>
        <v>0</v>
      </c>
      <c r="Y95" s="447">
        <f t="shared" si="10"/>
        <v>0</v>
      </c>
      <c r="Z95" s="447">
        <f t="shared" si="10"/>
        <v>15</v>
      </c>
    </row>
    <row r="96" spans="1:26" ht="15" customHeight="1" x14ac:dyDescent="0.25">
      <c r="A96" s="428"/>
      <c r="B96" s="422"/>
      <c r="C96" s="422"/>
      <c r="D96" s="429"/>
      <c r="E96" s="422"/>
      <c r="F96" s="429"/>
      <c r="G96" s="433"/>
      <c r="H96" s="422"/>
      <c r="I96" s="422"/>
      <c r="J96" s="422"/>
    </row>
    <row r="97" spans="1:26" x14ac:dyDescent="0.25">
      <c r="A97" s="739" t="s">
        <v>1228</v>
      </c>
      <c r="B97" s="739"/>
      <c r="G97" s="420"/>
    </row>
    <row r="98" spans="1:26" ht="30" x14ac:dyDescent="0.25">
      <c r="A98" s="570" t="s">
        <v>1</v>
      </c>
      <c r="B98" s="570" t="s">
        <v>59</v>
      </c>
      <c r="C98" s="425" t="s">
        <v>1222</v>
      </c>
      <c r="D98" s="425" t="s">
        <v>1223</v>
      </c>
      <c r="E98" s="425" t="s">
        <v>392</v>
      </c>
      <c r="F98" s="426" t="s">
        <v>2</v>
      </c>
      <c r="G98" s="432" t="s">
        <v>1225</v>
      </c>
      <c r="H98" s="427" t="s">
        <v>1224</v>
      </c>
      <c r="I98" s="427" t="s">
        <v>1498</v>
      </c>
      <c r="J98" s="427" t="s">
        <v>94</v>
      </c>
      <c r="K98" s="424" t="s">
        <v>681</v>
      </c>
      <c r="L98" s="424" t="s">
        <v>1496</v>
      </c>
      <c r="M98" s="424" t="s">
        <v>1497</v>
      </c>
      <c r="N98" s="424" t="s">
        <v>682</v>
      </c>
      <c r="O98" s="424" t="s">
        <v>683</v>
      </c>
      <c r="P98" s="424" t="s">
        <v>87</v>
      </c>
      <c r="Q98" s="424" t="s">
        <v>684</v>
      </c>
      <c r="R98" s="424" t="s">
        <v>685</v>
      </c>
      <c r="S98" s="424" t="s">
        <v>690</v>
      </c>
      <c r="T98" s="424" t="s">
        <v>686</v>
      </c>
      <c r="U98" s="424" t="s">
        <v>687</v>
      </c>
      <c r="V98" s="424" t="s">
        <v>688</v>
      </c>
      <c r="W98" s="424" t="s">
        <v>689</v>
      </c>
      <c r="X98" s="424" t="s">
        <v>138</v>
      </c>
      <c r="Y98" s="424" t="s">
        <v>1385</v>
      </c>
      <c r="Z98" s="424" t="s">
        <v>1238</v>
      </c>
    </row>
    <row r="99" spans="1:26" ht="15" customHeight="1" x14ac:dyDescent="0.25">
      <c r="A99" s="543" t="s">
        <v>1764</v>
      </c>
      <c r="B99" s="535" t="s">
        <v>115</v>
      </c>
      <c r="C99" s="487">
        <v>42867</v>
      </c>
      <c r="D99" s="488">
        <v>42873</v>
      </c>
      <c r="E99" s="486">
        <v>6</v>
      </c>
      <c r="F99" s="488">
        <v>42887</v>
      </c>
      <c r="G99" s="486">
        <v>1</v>
      </c>
      <c r="H99" s="539">
        <v>1643</v>
      </c>
      <c r="I99" s="539">
        <v>0</v>
      </c>
      <c r="J99" s="539">
        <v>657</v>
      </c>
      <c r="K99" s="535"/>
      <c r="L99" s="535"/>
      <c r="M99" s="535"/>
      <c r="N99" s="535"/>
      <c r="O99" s="535"/>
      <c r="P99" s="535">
        <v>1</v>
      </c>
      <c r="Q99" s="535"/>
      <c r="R99" s="535"/>
      <c r="S99" s="535"/>
      <c r="T99" s="535"/>
      <c r="U99" s="535"/>
      <c r="V99" s="535"/>
      <c r="W99" s="535"/>
      <c r="X99" s="535"/>
      <c r="Y99" s="535"/>
      <c r="Z99" s="535">
        <f>SUM(K99:Y99)</f>
        <v>1</v>
      </c>
    </row>
    <row r="100" spans="1:26" s="457" customFormat="1" ht="15" customHeight="1" x14ac:dyDescent="0.25">
      <c r="A100" s="543" t="s">
        <v>1766</v>
      </c>
      <c r="B100" s="535" t="s">
        <v>115</v>
      </c>
      <c r="C100" s="487">
        <v>42873</v>
      </c>
      <c r="D100" s="488">
        <v>42885</v>
      </c>
      <c r="E100" s="486">
        <v>12</v>
      </c>
      <c r="F100" s="488">
        <v>42900</v>
      </c>
      <c r="G100" s="486">
        <v>1</v>
      </c>
      <c r="H100" s="539">
        <v>1693</v>
      </c>
      <c r="I100" s="539">
        <v>0</v>
      </c>
      <c r="J100" s="539">
        <v>677</v>
      </c>
      <c r="K100" s="535"/>
      <c r="L100" s="535"/>
      <c r="M100" s="535"/>
      <c r="N100" s="535"/>
      <c r="O100" s="535"/>
      <c r="P100" s="535"/>
      <c r="Q100" s="535"/>
      <c r="R100" s="535"/>
      <c r="S100" s="535"/>
      <c r="T100" s="535">
        <v>1</v>
      </c>
      <c r="U100" s="535"/>
      <c r="V100" s="535"/>
      <c r="W100" s="535"/>
      <c r="X100" s="535"/>
      <c r="Y100" s="452"/>
      <c r="Z100" s="535">
        <f t="shared" ref="Z100:Z106" si="11">SUM(K100:Y100)</f>
        <v>1</v>
      </c>
    </row>
    <row r="101" spans="1:26" s="457" customFormat="1" ht="15" customHeight="1" x14ac:dyDescent="0.25">
      <c r="A101" s="543" t="s">
        <v>54</v>
      </c>
      <c r="B101" s="535" t="s">
        <v>115</v>
      </c>
      <c r="C101" s="487">
        <v>42880</v>
      </c>
      <c r="D101" s="488">
        <v>42886</v>
      </c>
      <c r="E101" s="486">
        <v>6</v>
      </c>
      <c r="F101" s="488">
        <v>42907</v>
      </c>
      <c r="G101" s="486">
        <v>2</v>
      </c>
      <c r="H101" s="539">
        <f>2560+2560</f>
        <v>5120</v>
      </c>
      <c r="I101" s="539"/>
      <c r="J101" s="539">
        <f>H101*0.4</f>
        <v>2048</v>
      </c>
      <c r="K101" s="535"/>
      <c r="L101" s="535"/>
      <c r="M101" s="535"/>
      <c r="N101" s="535"/>
      <c r="O101" s="535"/>
      <c r="P101" s="535"/>
      <c r="Q101" s="535">
        <v>1</v>
      </c>
      <c r="R101" s="535"/>
      <c r="S101" s="535">
        <v>1</v>
      </c>
      <c r="T101" s="535"/>
      <c r="U101" s="535"/>
      <c r="V101" s="535"/>
      <c r="W101" s="535"/>
      <c r="X101" s="535"/>
      <c r="Y101" s="452"/>
      <c r="Z101" s="535">
        <f t="shared" si="11"/>
        <v>2</v>
      </c>
    </row>
    <row r="102" spans="1:26" s="457" customFormat="1" ht="15" customHeight="1" x14ac:dyDescent="0.25">
      <c r="A102" s="543" t="s">
        <v>1770</v>
      </c>
      <c r="B102" s="535" t="s">
        <v>115</v>
      </c>
      <c r="C102" s="487">
        <v>42867</v>
      </c>
      <c r="D102" s="488">
        <v>42891</v>
      </c>
      <c r="E102" s="486">
        <v>23</v>
      </c>
      <c r="F102" s="488">
        <v>42899</v>
      </c>
      <c r="G102" s="486">
        <v>1</v>
      </c>
      <c r="H102" s="539">
        <v>1693</v>
      </c>
      <c r="I102" s="539">
        <v>0</v>
      </c>
      <c r="J102" s="539">
        <v>677</v>
      </c>
      <c r="K102" s="535"/>
      <c r="L102" s="535"/>
      <c r="M102" s="535"/>
      <c r="N102" s="535"/>
      <c r="O102" s="535"/>
      <c r="P102" s="535">
        <v>1</v>
      </c>
      <c r="Q102" s="535"/>
      <c r="R102" s="535"/>
      <c r="S102" s="535"/>
      <c r="T102" s="535"/>
      <c r="U102" s="535"/>
      <c r="V102" s="535"/>
      <c r="W102" s="535"/>
      <c r="X102" s="535"/>
      <c r="Y102" s="452"/>
      <c r="Z102" s="535">
        <f t="shared" si="11"/>
        <v>1</v>
      </c>
    </row>
    <row r="103" spans="1:26" s="457" customFormat="1" ht="15" customHeight="1" x14ac:dyDescent="0.25">
      <c r="A103" s="538"/>
      <c r="B103" s="535"/>
      <c r="C103" s="487"/>
      <c r="D103" s="488"/>
      <c r="E103" s="486"/>
      <c r="F103" s="488"/>
      <c r="G103" s="486"/>
      <c r="H103" s="539"/>
      <c r="I103" s="539"/>
      <c r="J103" s="539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452"/>
      <c r="Z103" s="535">
        <f t="shared" si="11"/>
        <v>0</v>
      </c>
    </row>
    <row r="104" spans="1:26" s="457" customFormat="1" ht="15" customHeight="1" x14ac:dyDescent="0.25">
      <c r="A104" s="538"/>
      <c r="B104" s="535"/>
      <c r="C104" s="487"/>
      <c r="D104" s="488"/>
      <c r="E104" s="486"/>
      <c r="F104" s="488"/>
      <c r="G104" s="486"/>
      <c r="H104" s="539"/>
      <c r="I104" s="539"/>
      <c r="J104" s="539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452"/>
      <c r="Z104" s="535">
        <f t="shared" si="11"/>
        <v>0</v>
      </c>
    </row>
    <row r="105" spans="1:26" s="457" customFormat="1" ht="15" customHeight="1" x14ac:dyDescent="0.25">
      <c r="A105" s="541"/>
      <c r="B105" s="452"/>
      <c r="C105" s="453"/>
      <c r="D105" s="454"/>
      <c r="E105" s="455"/>
      <c r="F105" s="454"/>
      <c r="G105" s="455"/>
      <c r="H105" s="456"/>
      <c r="I105" s="456"/>
      <c r="J105" s="456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535">
        <f t="shared" si="11"/>
        <v>0</v>
      </c>
    </row>
    <row r="106" spans="1:26" s="457" customFormat="1" ht="15" customHeight="1" x14ac:dyDescent="0.25">
      <c r="A106" s="541"/>
      <c r="B106" s="452"/>
      <c r="C106" s="453"/>
      <c r="D106" s="454"/>
      <c r="E106" s="455"/>
      <c r="F106" s="454"/>
      <c r="G106" s="455"/>
      <c r="H106" s="456"/>
      <c r="I106" s="456"/>
      <c r="J106" s="456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535">
        <f t="shared" si="11"/>
        <v>0</v>
      </c>
    </row>
    <row r="107" spans="1:26" ht="15" customHeight="1" x14ac:dyDescent="0.25">
      <c r="A107" s="443" t="s">
        <v>450</v>
      </c>
      <c r="B107" s="444"/>
      <c r="C107" s="445"/>
      <c r="D107" s="446"/>
      <c r="E107" s="447"/>
      <c r="F107" s="446"/>
      <c r="G107" s="447">
        <f t="shared" ref="G107:Z107" si="12">SUM(G99:G106)</f>
        <v>5</v>
      </c>
      <c r="H107" s="448">
        <f>SUM(H99:H106)</f>
        <v>10149</v>
      </c>
      <c r="I107" s="448">
        <f>SUM(I99:I106)</f>
        <v>0</v>
      </c>
      <c r="J107" s="448">
        <f>SUM(J99:J106)</f>
        <v>4059</v>
      </c>
      <c r="K107" s="447">
        <f t="shared" si="12"/>
        <v>0</v>
      </c>
      <c r="L107" s="447">
        <f t="shared" si="12"/>
        <v>0</v>
      </c>
      <c r="M107" s="447">
        <f t="shared" si="12"/>
        <v>0</v>
      </c>
      <c r="N107" s="447">
        <f t="shared" si="12"/>
        <v>0</v>
      </c>
      <c r="O107" s="447">
        <f t="shared" si="12"/>
        <v>0</v>
      </c>
      <c r="P107" s="447">
        <f t="shared" si="12"/>
        <v>2</v>
      </c>
      <c r="Q107" s="447">
        <f t="shared" si="12"/>
        <v>1</v>
      </c>
      <c r="R107" s="447">
        <f t="shared" si="12"/>
        <v>0</v>
      </c>
      <c r="S107" s="447">
        <f t="shared" si="12"/>
        <v>1</v>
      </c>
      <c r="T107" s="447">
        <f t="shared" si="12"/>
        <v>1</v>
      </c>
      <c r="U107" s="447">
        <f t="shared" si="12"/>
        <v>0</v>
      </c>
      <c r="V107" s="447">
        <f t="shared" si="12"/>
        <v>0</v>
      </c>
      <c r="W107" s="447">
        <f t="shared" si="12"/>
        <v>0</v>
      </c>
      <c r="X107" s="447"/>
      <c r="Y107" s="447"/>
      <c r="Z107" s="447">
        <f t="shared" si="12"/>
        <v>5</v>
      </c>
    </row>
    <row r="109" spans="1:26" x14ac:dyDescent="0.25">
      <c r="A109" s="739" t="s">
        <v>1229</v>
      </c>
      <c r="B109" s="739"/>
    </row>
    <row r="110" spans="1:26" ht="30" x14ac:dyDescent="0.25">
      <c r="A110" s="570" t="s">
        <v>1</v>
      </c>
      <c r="B110" s="570" t="s">
        <v>59</v>
      </c>
      <c r="C110" s="425"/>
      <c r="D110" s="425"/>
      <c r="E110" s="425"/>
      <c r="F110" s="426"/>
      <c r="G110" s="432" t="s">
        <v>1225</v>
      </c>
      <c r="H110" s="427" t="s">
        <v>1224</v>
      </c>
      <c r="I110" s="427" t="s">
        <v>1498</v>
      </c>
      <c r="J110" s="427" t="s">
        <v>94</v>
      </c>
      <c r="K110" s="424" t="s">
        <v>681</v>
      </c>
      <c r="L110" s="424" t="s">
        <v>1496</v>
      </c>
      <c r="M110" s="424" t="s">
        <v>1497</v>
      </c>
      <c r="N110" s="424" t="s">
        <v>682</v>
      </c>
      <c r="O110" s="424" t="s">
        <v>683</v>
      </c>
      <c r="P110" s="424" t="s">
        <v>87</v>
      </c>
      <c r="Q110" s="424" t="s">
        <v>684</v>
      </c>
      <c r="R110" s="424" t="s">
        <v>685</v>
      </c>
      <c r="S110" s="424" t="s">
        <v>690</v>
      </c>
      <c r="T110" s="424" t="s">
        <v>686</v>
      </c>
      <c r="U110" s="424" t="s">
        <v>687</v>
      </c>
      <c r="V110" s="424" t="s">
        <v>688</v>
      </c>
      <c r="W110" s="424" t="s">
        <v>689</v>
      </c>
      <c r="X110" s="424" t="s">
        <v>138</v>
      </c>
      <c r="Y110" s="424" t="s">
        <v>1385</v>
      </c>
      <c r="Z110" s="424" t="s">
        <v>1238</v>
      </c>
    </row>
    <row r="111" spans="1:26" s="457" customFormat="1" ht="15" customHeight="1" x14ac:dyDescent="0.25">
      <c r="A111" s="543" t="s">
        <v>1770</v>
      </c>
      <c r="B111" s="535" t="s">
        <v>115</v>
      </c>
      <c r="C111" s="487">
        <v>42867</v>
      </c>
      <c r="D111" s="488">
        <v>42891</v>
      </c>
      <c r="E111" s="486">
        <v>23</v>
      </c>
      <c r="F111" s="488">
        <v>42899</v>
      </c>
      <c r="G111" s="486">
        <v>-1</v>
      </c>
      <c r="H111" s="539">
        <v>-1693</v>
      </c>
      <c r="I111" s="539">
        <v>0</v>
      </c>
      <c r="J111" s="539">
        <v>-677</v>
      </c>
      <c r="K111" s="535"/>
      <c r="L111" s="535"/>
      <c r="M111" s="535"/>
      <c r="N111" s="535"/>
      <c r="O111" s="535"/>
      <c r="P111" s="535"/>
      <c r="Q111" s="535"/>
      <c r="R111" s="535"/>
      <c r="S111" s="535"/>
      <c r="T111" s="535"/>
      <c r="U111" s="535">
        <v>-1</v>
      </c>
      <c r="V111" s="535"/>
      <c r="W111" s="535"/>
      <c r="X111" s="535"/>
      <c r="Y111" s="535"/>
      <c r="Z111" s="535">
        <f t="shared" ref="Z111:Z119" si="13">SUM(K111:Y111)</f>
        <v>-1</v>
      </c>
    </row>
    <row r="112" spans="1:26" ht="15" customHeight="1" x14ac:dyDescent="0.25">
      <c r="A112" s="538"/>
      <c r="B112" s="535"/>
      <c r="C112" s="487"/>
      <c r="D112" s="488"/>
      <c r="E112" s="486"/>
      <c r="F112" s="488"/>
      <c r="G112" s="486"/>
      <c r="H112" s="539"/>
      <c r="I112" s="539"/>
      <c r="J112" s="539"/>
      <c r="K112" s="535"/>
      <c r="L112" s="535"/>
      <c r="M112" s="535"/>
      <c r="N112" s="535"/>
      <c r="O112" s="535"/>
      <c r="P112" s="535"/>
      <c r="Q112" s="535"/>
      <c r="R112" s="535"/>
      <c r="S112" s="535"/>
      <c r="T112" s="535"/>
      <c r="U112" s="535"/>
      <c r="V112" s="535"/>
      <c r="W112" s="535"/>
      <c r="X112" s="535"/>
      <c r="Y112" s="535"/>
      <c r="Z112" s="535">
        <f t="shared" si="13"/>
        <v>0</v>
      </c>
    </row>
    <row r="113" spans="1:26" ht="15" customHeight="1" x14ac:dyDescent="0.25">
      <c r="A113" s="538"/>
      <c r="B113" s="535"/>
      <c r="C113" s="487"/>
      <c r="D113" s="488"/>
      <c r="E113" s="486"/>
      <c r="F113" s="488"/>
      <c r="G113" s="486"/>
      <c r="H113" s="539"/>
      <c r="I113" s="539"/>
      <c r="J113" s="539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13"/>
        <v>0</v>
      </c>
    </row>
    <row r="114" spans="1:26" s="457" customFormat="1" ht="15" customHeight="1" x14ac:dyDescent="0.25">
      <c r="A114" s="531"/>
      <c r="B114" s="535"/>
      <c r="C114" s="487"/>
      <c r="D114" s="488"/>
      <c r="E114" s="486"/>
      <c r="F114" s="488"/>
      <c r="G114" s="486"/>
      <c r="H114" s="542"/>
      <c r="I114" s="539"/>
      <c r="J114" s="539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>
        <f t="shared" si="13"/>
        <v>0</v>
      </c>
    </row>
    <row r="115" spans="1:26" ht="15" customHeight="1" x14ac:dyDescent="0.25">
      <c r="A115" s="531"/>
      <c r="B115" s="535"/>
      <c r="C115" s="487"/>
      <c r="D115" s="488"/>
      <c r="E115" s="486"/>
      <c r="F115" s="488"/>
      <c r="G115" s="486"/>
      <c r="H115" s="542"/>
      <c r="I115" s="539"/>
      <c r="J115" s="539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>
        <f t="shared" si="13"/>
        <v>0</v>
      </c>
    </row>
    <row r="116" spans="1:26" ht="15" customHeight="1" x14ac:dyDescent="0.25">
      <c r="A116" s="531"/>
      <c r="B116" s="535"/>
      <c r="C116" s="487"/>
      <c r="D116" s="488"/>
      <c r="E116" s="486"/>
      <c r="F116" s="488"/>
      <c r="G116" s="486"/>
      <c r="H116" s="542"/>
      <c r="I116" s="539"/>
      <c r="J116" s="539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  <c r="V116" s="535"/>
      <c r="W116" s="535"/>
      <c r="X116" s="535"/>
      <c r="Y116" s="535"/>
      <c r="Z116" s="535">
        <f t="shared" si="13"/>
        <v>0</v>
      </c>
    </row>
    <row r="117" spans="1:26" s="457" customFormat="1" ht="15" customHeight="1" x14ac:dyDescent="0.25">
      <c r="A117" s="538"/>
      <c r="B117" s="535"/>
      <c r="C117" s="487"/>
      <c r="D117" s="488"/>
      <c r="E117" s="486"/>
      <c r="F117" s="488"/>
      <c r="G117" s="486"/>
      <c r="H117" s="539"/>
      <c r="I117" s="539"/>
      <c r="J117" s="539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  <c r="V117" s="535"/>
      <c r="W117" s="535"/>
      <c r="X117" s="535"/>
      <c r="Y117" s="535"/>
      <c r="Z117" s="535">
        <f t="shared" si="13"/>
        <v>0</v>
      </c>
    </row>
    <row r="118" spans="1:26" ht="15" customHeight="1" x14ac:dyDescent="0.25">
      <c r="A118" s="538"/>
      <c r="B118" s="535"/>
      <c r="C118" s="487"/>
      <c r="D118" s="488"/>
      <c r="E118" s="486"/>
      <c r="F118" s="488"/>
      <c r="G118" s="486"/>
      <c r="H118" s="539"/>
      <c r="I118" s="539"/>
      <c r="J118" s="539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535">
        <f t="shared" si="13"/>
        <v>0</v>
      </c>
    </row>
    <row r="119" spans="1:26" ht="15" customHeight="1" x14ac:dyDescent="0.25">
      <c r="A119" s="538"/>
      <c r="B119" s="535"/>
      <c r="C119" s="487"/>
      <c r="D119" s="488"/>
      <c r="E119" s="486"/>
      <c r="F119" s="488"/>
      <c r="G119" s="486"/>
      <c r="H119" s="539"/>
      <c r="I119" s="539"/>
      <c r="J119" s="539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  <c r="V119" s="535"/>
      <c r="W119" s="535"/>
      <c r="X119" s="535"/>
      <c r="Y119" s="535"/>
      <c r="Z119" s="535">
        <f t="shared" si="13"/>
        <v>0</v>
      </c>
    </row>
    <row r="120" spans="1:26" ht="15" customHeight="1" x14ac:dyDescent="0.25">
      <c r="A120" s="443" t="s">
        <v>1230</v>
      </c>
      <c r="B120" s="444"/>
      <c r="C120" s="445"/>
      <c r="D120" s="446"/>
      <c r="E120" s="447"/>
      <c r="F120" s="446"/>
      <c r="G120" s="447">
        <f>SUM(G111:G119)</f>
        <v>-1</v>
      </c>
      <c r="H120" s="448">
        <f>SUM(H111:H119)</f>
        <v>-1693</v>
      </c>
      <c r="I120" s="448">
        <f t="shared" ref="I120:J120" si="14">SUM(I111:I119)</f>
        <v>0</v>
      </c>
      <c r="J120" s="448">
        <f t="shared" si="14"/>
        <v>-677</v>
      </c>
      <c r="K120" s="447">
        <f>SUM(K111:K119)</f>
        <v>0</v>
      </c>
      <c r="L120" s="447">
        <f t="shared" ref="L120:Z120" si="15">SUM(L111:L119)</f>
        <v>0</v>
      </c>
      <c r="M120" s="447">
        <f t="shared" si="15"/>
        <v>0</v>
      </c>
      <c r="N120" s="447">
        <f t="shared" si="15"/>
        <v>0</v>
      </c>
      <c r="O120" s="447">
        <f t="shared" si="15"/>
        <v>0</v>
      </c>
      <c r="P120" s="447">
        <f t="shared" si="15"/>
        <v>0</v>
      </c>
      <c r="Q120" s="447">
        <f t="shared" si="15"/>
        <v>0</v>
      </c>
      <c r="R120" s="447">
        <f t="shared" si="15"/>
        <v>0</v>
      </c>
      <c r="S120" s="447">
        <f t="shared" si="15"/>
        <v>0</v>
      </c>
      <c r="T120" s="447">
        <f t="shared" si="15"/>
        <v>0</v>
      </c>
      <c r="U120" s="447">
        <f t="shared" si="15"/>
        <v>-1</v>
      </c>
      <c r="V120" s="447">
        <f t="shared" si="15"/>
        <v>0</v>
      </c>
      <c r="W120" s="447">
        <f t="shared" si="15"/>
        <v>0</v>
      </c>
      <c r="X120" s="447">
        <f t="shared" si="15"/>
        <v>0</v>
      </c>
      <c r="Y120" s="447">
        <f t="shared" si="15"/>
        <v>0</v>
      </c>
      <c r="Z120" s="447">
        <f t="shared" si="15"/>
        <v>-1</v>
      </c>
    </row>
    <row r="122" spans="1:26" x14ac:dyDescent="0.25">
      <c r="A122" s="739" t="s">
        <v>1231</v>
      </c>
      <c r="B122" s="739"/>
    </row>
    <row r="123" spans="1:26" ht="30" x14ac:dyDescent="0.25">
      <c r="A123" s="570" t="s">
        <v>1</v>
      </c>
      <c r="B123" s="570" t="s">
        <v>59</v>
      </c>
      <c r="C123" s="425"/>
      <c r="D123" s="425"/>
      <c r="E123" s="425"/>
      <c r="F123" s="426"/>
      <c r="G123" s="432" t="s">
        <v>1225</v>
      </c>
      <c r="H123" s="427" t="s">
        <v>1224</v>
      </c>
      <c r="I123" s="427" t="s">
        <v>1498</v>
      </c>
      <c r="J123" s="427" t="s">
        <v>94</v>
      </c>
      <c r="K123" s="424" t="s">
        <v>681</v>
      </c>
      <c r="L123" s="424" t="s">
        <v>1496</v>
      </c>
      <c r="M123" s="424" t="s">
        <v>1497</v>
      </c>
      <c r="N123" s="424" t="s">
        <v>682</v>
      </c>
      <c r="O123" s="424" t="s">
        <v>683</v>
      </c>
      <c r="P123" s="424" t="s">
        <v>87</v>
      </c>
      <c r="Q123" s="424" t="s">
        <v>684</v>
      </c>
      <c r="R123" s="424" t="s">
        <v>685</v>
      </c>
      <c r="S123" s="424" t="s">
        <v>690</v>
      </c>
      <c r="T123" s="424" t="s">
        <v>686</v>
      </c>
      <c r="U123" s="424" t="s">
        <v>687</v>
      </c>
      <c r="V123" s="424" t="s">
        <v>688</v>
      </c>
      <c r="W123" s="424" t="s">
        <v>689</v>
      </c>
      <c r="X123" s="424" t="s">
        <v>138</v>
      </c>
      <c r="Y123" s="424" t="s">
        <v>1385</v>
      </c>
      <c r="Z123" s="424" t="s">
        <v>1238</v>
      </c>
    </row>
    <row r="124" spans="1:26" ht="15" customHeight="1" x14ac:dyDescent="0.25">
      <c r="A124" s="538"/>
      <c r="B124" s="535"/>
      <c r="C124" s="487"/>
      <c r="D124" s="488"/>
      <c r="E124" s="486"/>
      <c r="F124" s="488"/>
      <c r="G124" s="486"/>
      <c r="H124" s="539"/>
      <c r="I124" s="539"/>
      <c r="J124" s="539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>
        <f t="shared" ref="Z124:Z126" si="16">SUM(K124:Y124)</f>
        <v>0</v>
      </c>
    </row>
    <row r="125" spans="1:26" ht="15" customHeight="1" x14ac:dyDescent="0.25">
      <c r="A125" s="531"/>
      <c r="B125" s="535"/>
      <c r="C125" s="487"/>
      <c r="D125" s="488"/>
      <c r="E125" s="486"/>
      <c r="F125" s="488"/>
      <c r="G125" s="486"/>
      <c r="H125" s="539"/>
      <c r="I125" s="539"/>
      <c r="J125" s="539"/>
      <c r="K125" s="535"/>
      <c r="L125" s="535"/>
      <c r="M125" s="535"/>
      <c r="N125" s="535"/>
      <c r="O125" s="535"/>
      <c r="P125" s="535"/>
      <c r="Q125" s="535"/>
      <c r="R125" s="535"/>
      <c r="S125" s="535"/>
      <c r="T125" s="535"/>
      <c r="U125" s="535"/>
      <c r="V125" s="535"/>
      <c r="W125" s="535"/>
      <c r="X125" s="535"/>
      <c r="Y125" s="535"/>
      <c r="Z125" s="535">
        <f t="shared" si="16"/>
        <v>0</v>
      </c>
    </row>
    <row r="126" spans="1:26" ht="15" customHeight="1" x14ac:dyDescent="0.25">
      <c r="A126" s="538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6"/>
        <v>0</v>
      </c>
    </row>
    <row r="127" spans="1:26" ht="15" customHeight="1" x14ac:dyDescent="0.25">
      <c r="A127" s="443" t="s">
        <v>1230</v>
      </c>
      <c r="B127" s="444"/>
      <c r="C127" s="445"/>
      <c r="D127" s="446"/>
      <c r="E127" s="447"/>
      <c r="F127" s="446"/>
      <c r="G127" s="447">
        <f>SUM(G124:G126)</f>
        <v>0</v>
      </c>
      <c r="H127" s="448">
        <f>SUM(H124:H126)</f>
        <v>0</v>
      </c>
      <c r="I127" s="448">
        <f t="shared" ref="I127:Z127" si="17">SUM(I124:I126)</f>
        <v>0</v>
      </c>
      <c r="J127" s="448">
        <f t="shared" si="17"/>
        <v>0</v>
      </c>
      <c r="K127" s="447">
        <f t="shared" si="17"/>
        <v>0</v>
      </c>
      <c r="L127" s="447">
        <f t="shared" si="17"/>
        <v>0</v>
      </c>
      <c r="M127" s="447">
        <f t="shared" si="17"/>
        <v>0</v>
      </c>
      <c r="N127" s="447">
        <f t="shared" si="17"/>
        <v>0</v>
      </c>
      <c r="O127" s="447">
        <f t="shared" si="17"/>
        <v>0</v>
      </c>
      <c r="P127" s="447">
        <f t="shared" si="17"/>
        <v>0</v>
      </c>
      <c r="Q127" s="447">
        <f t="shared" si="17"/>
        <v>0</v>
      </c>
      <c r="R127" s="447">
        <f t="shared" si="17"/>
        <v>0</v>
      </c>
      <c r="S127" s="447">
        <f t="shared" si="17"/>
        <v>0</v>
      </c>
      <c r="T127" s="447">
        <f t="shared" si="17"/>
        <v>0</v>
      </c>
      <c r="U127" s="447">
        <f t="shared" si="17"/>
        <v>0</v>
      </c>
      <c r="V127" s="447">
        <f t="shared" si="17"/>
        <v>0</v>
      </c>
      <c r="W127" s="447">
        <f t="shared" si="17"/>
        <v>0</v>
      </c>
      <c r="X127" s="447"/>
      <c r="Y127" s="447"/>
      <c r="Z127" s="447">
        <f t="shared" si="17"/>
        <v>0</v>
      </c>
    </row>
    <row r="128" spans="1:26" ht="15.75" thickBot="1" x14ac:dyDescent="0.3"/>
    <row r="129" spans="1:26" ht="15.75" thickBot="1" x14ac:dyDescent="0.3">
      <c r="A129" s="436" t="s">
        <v>1232</v>
      </c>
      <c r="B129" s="434"/>
      <c r="C129" s="434"/>
      <c r="D129" s="434"/>
      <c r="E129" s="434"/>
      <c r="F129" s="434"/>
      <c r="G129" s="437">
        <f t="shared" ref="G129:W129" si="18">G84+G95+G107+G120+G127</f>
        <v>6</v>
      </c>
      <c r="H129" s="438">
        <f t="shared" si="18"/>
        <v>36656.25</v>
      </c>
      <c r="I129" s="438">
        <f t="shared" si="18"/>
        <v>26350</v>
      </c>
      <c r="J129" s="438">
        <f t="shared" si="18"/>
        <v>93374</v>
      </c>
      <c r="K129" s="450">
        <f t="shared" si="18"/>
        <v>2</v>
      </c>
      <c r="L129" s="450">
        <f t="shared" si="18"/>
        <v>2</v>
      </c>
      <c r="M129" s="450">
        <f t="shared" si="18"/>
        <v>1</v>
      </c>
      <c r="N129" s="450">
        <f t="shared" si="18"/>
        <v>3</v>
      </c>
      <c r="O129" s="450">
        <f t="shared" si="18"/>
        <v>0</v>
      </c>
      <c r="P129" s="450">
        <f t="shared" si="18"/>
        <v>4</v>
      </c>
      <c r="Q129" s="450">
        <f t="shared" si="18"/>
        <v>4</v>
      </c>
      <c r="R129" s="450">
        <f t="shared" si="18"/>
        <v>1</v>
      </c>
      <c r="S129" s="450">
        <f t="shared" si="18"/>
        <v>2</v>
      </c>
      <c r="T129" s="450">
        <f t="shared" si="18"/>
        <v>1</v>
      </c>
      <c r="U129" s="450">
        <f t="shared" si="18"/>
        <v>-1</v>
      </c>
      <c r="V129" s="450">
        <f t="shared" si="18"/>
        <v>0</v>
      </c>
      <c r="W129" s="450">
        <f t="shared" si="18"/>
        <v>0</v>
      </c>
      <c r="X129" s="450"/>
      <c r="Y129" s="450"/>
      <c r="Z129" s="450">
        <f>Z84+Z95+Z107+Z120+Z127</f>
        <v>19</v>
      </c>
    </row>
    <row r="130" spans="1:26" ht="15.75" thickBot="1" x14ac:dyDescent="0.3">
      <c r="A130" s="436" t="s">
        <v>64</v>
      </c>
      <c r="B130" s="434"/>
      <c r="C130" s="434"/>
      <c r="D130" s="434"/>
      <c r="E130" s="434"/>
      <c r="F130" s="434"/>
      <c r="G130" s="437"/>
      <c r="H130" s="438"/>
      <c r="I130" s="438"/>
      <c r="J130" s="438"/>
    </row>
    <row r="131" spans="1:26" ht="15.75" thickBot="1" x14ac:dyDescent="0.3">
      <c r="A131" s="439" t="s">
        <v>452</v>
      </c>
      <c r="B131" s="440"/>
      <c r="C131" s="440"/>
      <c r="D131" s="440"/>
      <c r="E131" s="440"/>
      <c r="F131" s="440"/>
      <c r="G131" s="441"/>
      <c r="H131" s="442">
        <f>H129-H130</f>
        <v>36656.25</v>
      </c>
      <c r="I131" s="442"/>
      <c r="J131" s="442"/>
    </row>
    <row r="134" spans="1:26" x14ac:dyDescent="0.25">
      <c r="H134" s="435">
        <f>H84+H107+H120+H127</f>
        <v>8447.2500000000018</v>
      </c>
      <c r="I134" s="435"/>
      <c r="J134" s="435"/>
    </row>
  </sheetData>
  <mergeCells count="8">
    <mergeCell ref="G3:H3"/>
    <mergeCell ref="A86:B86"/>
    <mergeCell ref="A97:B97"/>
    <mergeCell ref="A109:B109"/>
    <mergeCell ref="A122:B122"/>
    <mergeCell ref="A3:B3"/>
    <mergeCell ref="C3:D3"/>
    <mergeCell ref="E3:F3"/>
  </mergeCells>
  <pageMargins left="0.7" right="0.7" top="0.75" bottom="0.75" header="0.3" footer="0.3"/>
  <pageSetup scale="33" fitToHeight="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35"/>
  <sheetViews>
    <sheetView topLeftCell="A88" zoomScale="70" zoomScaleNormal="70" workbookViewId="0">
      <selection activeCell="A97" sqref="A97:B97"/>
    </sheetView>
  </sheetViews>
  <sheetFormatPr defaultColWidth="8.85546875" defaultRowHeight="15" x14ac:dyDescent="0.25"/>
  <cols>
    <col min="1" max="1" width="53.28515625" style="419" customWidth="1"/>
    <col min="2" max="2" width="8.85546875" style="419"/>
    <col min="3" max="3" width="11.85546875" style="419" customWidth="1"/>
    <col min="4" max="4" width="17.28515625" style="419" customWidth="1"/>
    <col min="5" max="5" width="11.85546875" style="419" customWidth="1"/>
    <col min="6" max="6" width="13.85546875" style="419" customWidth="1"/>
    <col min="7" max="7" width="11.85546875" style="419" customWidth="1"/>
    <col min="8" max="8" width="13.42578125" style="419" customWidth="1"/>
    <col min="9" max="9" width="12.28515625" style="419" customWidth="1"/>
    <col min="10" max="10" width="13.42578125" style="419" customWidth="1"/>
    <col min="11" max="26" width="6.28515625" style="419" customWidth="1"/>
    <col min="27" max="16384" width="8.85546875" style="419"/>
  </cols>
  <sheetData>
    <row r="1" spans="1:26" x14ac:dyDescent="0.25">
      <c r="A1" s="418" t="s">
        <v>1357</v>
      </c>
    </row>
    <row r="3" spans="1:26" x14ac:dyDescent="0.25">
      <c r="A3" s="739" t="s">
        <v>1214</v>
      </c>
      <c r="B3" s="739"/>
      <c r="C3" s="738" t="s">
        <v>1216</v>
      </c>
      <c r="D3" s="738"/>
      <c r="E3" s="738" t="s">
        <v>1217</v>
      </c>
      <c r="F3" s="738"/>
      <c r="G3" s="738" t="s">
        <v>1218</v>
      </c>
      <c r="H3" s="738"/>
      <c r="I3" s="521"/>
      <c r="J3" s="521"/>
    </row>
    <row r="4" spans="1:26" ht="30" x14ac:dyDescent="0.25">
      <c r="A4" s="570" t="s">
        <v>1</v>
      </c>
      <c r="B4" s="570" t="s">
        <v>59</v>
      </c>
      <c r="C4" s="424" t="s">
        <v>1219</v>
      </c>
      <c r="D4" s="424" t="s">
        <v>1220</v>
      </c>
      <c r="E4" s="424" t="s">
        <v>1219</v>
      </c>
      <c r="F4" s="424" t="s">
        <v>1220</v>
      </c>
      <c r="G4" s="424" t="s">
        <v>1219</v>
      </c>
      <c r="H4" s="424" t="s">
        <v>1220</v>
      </c>
      <c r="I4" s="424" t="s">
        <v>1498</v>
      </c>
      <c r="J4" s="424" t="s">
        <v>94</v>
      </c>
      <c r="K4" s="424" t="s">
        <v>681</v>
      </c>
      <c r="L4" s="424" t="s">
        <v>1496</v>
      </c>
      <c r="M4" s="424" t="s">
        <v>1497</v>
      </c>
      <c r="N4" s="424" t="s">
        <v>682</v>
      </c>
      <c r="O4" s="424" t="s">
        <v>683</v>
      </c>
      <c r="P4" s="424" t="s">
        <v>87</v>
      </c>
      <c r="Q4" s="424" t="s">
        <v>684</v>
      </c>
      <c r="R4" s="424" t="s">
        <v>685</v>
      </c>
      <c r="S4" s="424" t="s">
        <v>690</v>
      </c>
      <c r="T4" s="424" t="s">
        <v>686</v>
      </c>
      <c r="U4" s="424" t="s">
        <v>687</v>
      </c>
      <c r="V4" s="424" t="s">
        <v>688</v>
      </c>
      <c r="W4" s="424" t="s">
        <v>689</v>
      </c>
      <c r="X4" s="424" t="s">
        <v>138</v>
      </c>
      <c r="Y4" s="424" t="s">
        <v>1385</v>
      </c>
      <c r="Z4" s="424" t="s">
        <v>1238</v>
      </c>
    </row>
    <row r="5" spans="1:26" ht="14.45" customHeight="1" x14ac:dyDescent="0.25">
      <c r="A5" s="531" t="s">
        <v>192</v>
      </c>
      <c r="B5" s="530" t="s">
        <v>61</v>
      </c>
      <c r="C5" s="531">
        <v>7</v>
      </c>
      <c r="D5" s="542">
        <v>9903</v>
      </c>
      <c r="E5" s="535">
        <v>7</v>
      </c>
      <c r="F5" s="542">
        <v>10200</v>
      </c>
      <c r="G5" s="535">
        <f t="shared" ref="G5:H35" si="0">E5-C5</f>
        <v>0</v>
      </c>
      <c r="H5" s="542">
        <f t="shared" si="0"/>
        <v>297</v>
      </c>
      <c r="I5" s="542"/>
      <c r="J5" s="542">
        <v>4000</v>
      </c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>
        <f t="shared" ref="Z5:Z67" si="1">SUM(K5:Y5)</f>
        <v>0</v>
      </c>
    </row>
    <row r="6" spans="1:26" ht="14.45" customHeight="1" x14ac:dyDescent="0.25">
      <c r="A6" s="531" t="s">
        <v>193</v>
      </c>
      <c r="B6" s="530" t="s">
        <v>61</v>
      </c>
      <c r="C6" s="531">
        <v>8</v>
      </c>
      <c r="D6" s="542">
        <v>8809.2000000000007</v>
      </c>
      <c r="E6" s="535">
        <v>8</v>
      </c>
      <c r="F6" s="542">
        <v>9487.7999999999993</v>
      </c>
      <c r="G6" s="535">
        <f t="shared" si="0"/>
        <v>0</v>
      </c>
      <c r="H6" s="542">
        <f t="shared" si="0"/>
        <v>678.59999999999854</v>
      </c>
      <c r="I6" s="542"/>
      <c r="J6" s="542">
        <v>3795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>
        <f t="shared" si="1"/>
        <v>0</v>
      </c>
    </row>
    <row r="7" spans="1:26" ht="14.45" customHeight="1" x14ac:dyDescent="0.25">
      <c r="A7" s="531" t="s">
        <v>1640</v>
      </c>
      <c r="B7" s="530" t="s">
        <v>61</v>
      </c>
      <c r="C7" s="531">
        <v>2</v>
      </c>
      <c r="D7" s="542">
        <v>5120</v>
      </c>
      <c r="E7" s="535">
        <v>2</v>
      </c>
      <c r="F7" s="542">
        <v>2980</v>
      </c>
      <c r="G7" s="535">
        <f t="shared" si="0"/>
        <v>0</v>
      </c>
      <c r="H7" s="542">
        <f t="shared" si="0"/>
        <v>-2140</v>
      </c>
      <c r="I7" s="542"/>
      <c r="J7" s="542">
        <v>1192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>
        <f t="shared" si="1"/>
        <v>0</v>
      </c>
    </row>
    <row r="8" spans="1:26" ht="14.45" customHeight="1" x14ac:dyDescent="0.25">
      <c r="A8" s="530" t="s">
        <v>1375</v>
      </c>
      <c r="B8" s="530" t="s">
        <v>61</v>
      </c>
      <c r="C8" s="531">
        <v>9</v>
      </c>
      <c r="D8" s="542">
        <v>17321</v>
      </c>
      <c r="E8" s="535">
        <v>9</v>
      </c>
      <c r="F8" s="542">
        <v>17437</v>
      </c>
      <c r="G8" s="535">
        <f t="shared" si="0"/>
        <v>0</v>
      </c>
      <c r="H8" s="542">
        <f t="shared" si="0"/>
        <v>116</v>
      </c>
      <c r="I8" s="542"/>
      <c r="J8" s="542">
        <v>4120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>
        <f t="shared" si="1"/>
        <v>0</v>
      </c>
    </row>
    <row r="9" spans="1:26" ht="14.45" customHeight="1" x14ac:dyDescent="0.25">
      <c r="A9" s="531" t="s">
        <v>369</v>
      </c>
      <c r="B9" s="530" t="s">
        <v>115</v>
      </c>
      <c r="C9" s="531">
        <v>2</v>
      </c>
      <c r="D9" s="542">
        <v>2337</v>
      </c>
      <c r="E9" s="535">
        <v>2</v>
      </c>
      <c r="F9" s="542">
        <v>2980</v>
      </c>
      <c r="G9" s="535">
        <f t="shared" si="0"/>
        <v>0</v>
      </c>
      <c r="H9" s="542">
        <f t="shared" si="0"/>
        <v>643</v>
      </c>
      <c r="I9" s="542"/>
      <c r="J9" s="542">
        <v>1192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>
        <f t="shared" si="1"/>
        <v>0</v>
      </c>
    </row>
    <row r="10" spans="1:26" ht="14.45" customHeight="1" x14ac:dyDescent="0.25">
      <c r="A10" s="530" t="s">
        <v>1613</v>
      </c>
      <c r="B10" s="530" t="s">
        <v>115</v>
      </c>
      <c r="C10" s="531">
        <v>3</v>
      </c>
      <c r="D10" s="542">
        <v>6375</v>
      </c>
      <c r="E10" s="535">
        <v>3</v>
      </c>
      <c r="F10" s="542">
        <v>5453</v>
      </c>
      <c r="G10" s="535">
        <f t="shared" si="0"/>
        <v>0</v>
      </c>
      <c r="H10" s="542">
        <f t="shared" si="0"/>
        <v>-922</v>
      </c>
      <c r="I10" s="542"/>
      <c r="J10" s="542">
        <v>2181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>
        <f t="shared" si="1"/>
        <v>0</v>
      </c>
    </row>
    <row r="11" spans="1:26" ht="14.45" customHeight="1" x14ac:dyDescent="0.25">
      <c r="A11" s="536" t="s">
        <v>322</v>
      </c>
      <c r="B11" s="530" t="s">
        <v>61</v>
      </c>
      <c r="C11" s="531">
        <v>2</v>
      </c>
      <c r="D11" s="542">
        <v>3286</v>
      </c>
      <c r="E11" s="535">
        <v>2</v>
      </c>
      <c r="F11" s="542">
        <v>3386</v>
      </c>
      <c r="G11" s="535">
        <f t="shared" si="0"/>
        <v>0</v>
      </c>
      <c r="H11" s="542">
        <f t="shared" si="0"/>
        <v>100</v>
      </c>
      <c r="I11" s="542"/>
      <c r="J11" s="542">
        <v>1354</v>
      </c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>
        <f t="shared" si="1"/>
        <v>0</v>
      </c>
    </row>
    <row r="12" spans="1:26" ht="14.45" customHeight="1" x14ac:dyDescent="0.25">
      <c r="A12" s="533" t="s">
        <v>358</v>
      </c>
      <c r="B12" s="530" t="s">
        <v>115</v>
      </c>
      <c r="C12" s="531">
        <v>7</v>
      </c>
      <c r="D12" s="542">
        <v>13830</v>
      </c>
      <c r="E12" s="535">
        <v>7</v>
      </c>
      <c r="F12" s="542">
        <v>14247</v>
      </c>
      <c r="G12" s="535">
        <f t="shared" si="0"/>
        <v>0</v>
      </c>
      <c r="H12" s="542">
        <f t="shared" si="0"/>
        <v>417</v>
      </c>
      <c r="I12" s="542"/>
      <c r="J12" s="542">
        <v>4000</v>
      </c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>
        <f t="shared" si="1"/>
        <v>0</v>
      </c>
    </row>
    <row r="13" spans="1:26" ht="14.45" customHeight="1" x14ac:dyDescent="0.25">
      <c r="A13" s="530" t="s">
        <v>272</v>
      </c>
      <c r="B13" s="530" t="s">
        <v>61</v>
      </c>
      <c r="C13" s="531">
        <v>3</v>
      </c>
      <c r="D13" s="542">
        <v>6567</v>
      </c>
      <c r="E13" s="535">
        <v>3</v>
      </c>
      <c r="F13" s="542">
        <v>6764</v>
      </c>
      <c r="G13" s="535">
        <f t="shared" si="0"/>
        <v>0</v>
      </c>
      <c r="H13" s="542">
        <f t="shared" si="0"/>
        <v>197</v>
      </c>
      <c r="I13" s="542"/>
      <c r="J13" s="542">
        <v>2706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>
        <f t="shared" si="1"/>
        <v>0</v>
      </c>
    </row>
    <row r="14" spans="1:26" ht="14.45" customHeight="1" x14ac:dyDescent="0.25">
      <c r="A14" s="530" t="s">
        <v>199</v>
      </c>
      <c r="B14" s="530" t="s">
        <v>115</v>
      </c>
      <c r="C14" s="531">
        <v>6</v>
      </c>
      <c r="D14" s="542">
        <v>6590</v>
      </c>
      <c r="E14" s="535">
        <v>6</v>
      </c>
      <c r="F14" s="542">
        <f>6787*0.9</f>
        <v>6108.3</v>
      </c>
      <c r="G14" s="535">
        <f t="shared" si="0"/>
        <v>0</v>
      </c>
      <c r="H14" s="542">
        <f t="shared" si="0"/>
        <v>-481.69999999999982</v>
      </c>
      <c r="I14" s="542"/>
      <c r="J14" s="542">
        <f>F14*0.4</f>
        <v>2443.3200000000002</v>
      </c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>
        <f t="shared" si="1"/>
        <v>0</v>
      </c>
    </row>
    <row r="15" spans="1:26" ht="14.45" customHeight="1" x14ac:dyDescent="0.25">
      <c r="A15" s="530" t="s">
        <v>200</v>
      </c>
      <c r="B15" s="530" t="s">
        <v>115</v>
      </c>
      <c r="C15" s="531">
        <v>7</v>
      </c>
      <c r="D15" s="542">
        <v>13975</v>
      </c>
      <c r="E15" s="535">
        <v>7</v>
      </c>
      <c r="F15" s="542">
        <f>(12019*0.9)+2200</f>
        <v>13017.1</v>
      </c>
      <c r="G15" s="535">
        <f t="shared" si="0"/>
        <v>0</v>
      </c>
      <c r="H15" s="542">
        <f t="shared" si="0"/>
        <v>-957.89999999999964</v>
      </c>
      <c r="I15" s="542"/>
      <c r="J15" s="542">
        <v>4000</v>
      </c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>
        <f t="shared" si="1"/>
        <v>0</v>
      </c>
    </row>
    <row r="16" spans="1:26" ht="14.45" customHeight="1" x14ac:dyDescent="0.25">
      <c r="A16" s="530" t="s">
        <v>201</v>
      </c>
      <c r="B16" s="530" t="s">
        <v>115</v>
      </c>
      <c r="C16" s="531">
        <v>5</v>
      </c>
      <c r="D16" s="542">
        <v>3235</v>
      </c>
      <c r="E16" s="535">
        <v>5</v>
      </c>
      <c r="F16" s="542">
        <v>3889</v>
      </c>
      <c r="G16" s="535">
        <f t="shared" si="0"/>
        <v>0</v>
      </c>
      <c r="H16" s="542">
        <f t="shared" si="0"/>
        <v>654</v>
      </c>
      <c r="I16" s="542"/>
      <c r="J16" s="542">
        <f>F16*0.4</f>
        <v>1555.6000000000001</v>
      </c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>
        <f t="shared" si="1"/>
        <v>0</v>
      </c>
    </row>
    <row r="17" spans="1:26" ht="14.45" customHeight="1" x14ac:dyDescent="0.25">
      <c r="A17" s="530" t="s">
        <v>301</v>
      </c>
      <c r="B17" s="530" t="s">
        <v>115</v>
      </c>
      <c r="C17" s="531">
        <v>8</v>
      </c>
      <c r="D17" s="542">
        <v>10616.4</v>
      </c>
      <c r="E17" s="535">
        <v>8</v>
      </c>
      <c r="F17" s="542">
        <v>10005.299999999999</v>
      </c>
      <c r="G17" s="535">
        <f t="shared" si="0"/>
        <v>0</v>
      </c>
      <c r="H17" s="542">
        <f t="shared" si="0"/>
        <v>-611.10000000000036</v>
      </c>
      <c r="I17" s="542"/>
      <c r="J17" s="542">
        <v>4000</v>
      </c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>
        <f t="shared" si="1"/>
        <v>0</v>
      </c>
    </row>
    <row r="18" spans="1:26" ht="14.45" customHeight="1" x14ac:dyDescent="0.25">
      <c r="A18" s="530" t="s">
        <v>360</v>
      </c>
      <c r="B18" s="530" t="s">
        <v>115</v>
      </c>
      <c r="C18" s="531">
        <v>3</v>
      </c>
      <c r="D18" s="542">
        <v>5563</v>
      </c>
      <c r="E18" s="535">
        <v>3</v>
      </c>
      <c r="F18" s="542">
        <v>6191</v>
      </c>
      <c r="G18" s="535">
        <f t="shared" si="0"/>
        <v>0</v>
      </c>
      <c r="H18" s="542">
        <f t="shared" si="0"/>
        <v>628</v>
      </c>
      <c r="I18" s="542"/>
      <c r="J18" s="542">
        <v>2476</v>
      </c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>
        <f t="shared" si="1"/>
        <v>0</v>
      </c>
    </row>
    <row r="19" spans="1:26" ht="14.45" customHeight="1" x14ac:dyDescent="0.25">
      <c r="A19" s="530" t="s">
        <v>311</v>
      </c>
      <c r="B19" s="531" t="s">
        <v>61</v>
      </c>
      <c r="C19" s="531">
        <v>7</v>
      </c>
      <c r="D19" s="542">
        <v>8343</v>
      </c>
      <c r="E19" s="535">
        <v>7</v>
      </c>
      <c r="F19" s="542">
        <f>9627</f>
        <v>9627</v>
      </c>
      <c r="G19" s="535">
        <f t="shared" si="0"/>
        <v>0</v>
      </c>
      <c r="H19" s="542">
        <f t="shared" si="0"/>
        <v>1284</v>
      </c>
      <c r="I19" s="542"/>
      <c r="J19" s="542">
        <f>F19*0.4</f>
        <v>3850.8</v>
      </c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>
        <f t="shared" si="1"/>
        <v>0</v>
      </c>
    </row>
    <row r="20" spans="1:26" ht="14.45" customHeight="1" x14ac:dyDescent="0.25">
      <c r="A20" s="530" t="s">
        <v>1609</v>
      </c>
      <c r="B20" s="530" t="s">
        <v>115</v>
      </c>
      <c r="C20" s="531">
        <v>5</v>
      </c>
      <c r="D20" s="542">
        <v>10415</v>
      </c>
      <c r="E20" s="535">
        <v>5</v>
      </c>
      <c r="F20" s="542">
        <f>12308-1643</f>
        <v>10665</v>
      </c>
      <c r="G20" s="535">
        <f t="shared" si="0"/>
        <v>0</v>
      </c>
      <c r="H20" s="542">
        <f t="shared" si="0"/>
        <v>250</v>
      </c>
      <c r="I20" s="542"/>
      <c r="J20" s="542">
        <f>(F20-2200)*0.4</f>
        <v>3386</v>
      </c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>
        <f t="shared" si="1"/>
        <v>0</v>
      </c>
    </row>
    <row r="21" spans="1:26" ht="14.45" customHeight="1" x14ac:dyDescent="0.25">
      <c r="A21" s="530" t="s">
        <v>180</v>
      </c>
      <c r="B21" s="530" t="s">
        <v>61</v>
      </c>
      <c r="C21" s="531">
        <v>3</v>
      </c>
      <c r="D21" s="542">
        <v>3286</v>
      </c>
      <c r="E21" s="535">
        <v>3</v>
      </c>
      <c r="F21" s="542">
        <v>5079</v>
      </c>
      <c r="G21" s="535">
        <f t="shared" si="0"/>
        <v>0</v>
      </c>
      <c r="H21" s="542">
        <f t="shared" si="0"/>
        <v>1793</v>
      </c>
      <c r="I21" s="542"/>
      <c r="J21" s="542">
        <v>2032</v>
      </c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>
        <f t="shared" si="1"/>
        <v>0</v>
      </c>
    </row>
    <row r="22" spans="1:26" ht="14.45" customHeight="1" x14ac:dyDescent="0.25">
      <c r="A22" s="530" t="s">
        <v>1475</v>
      </c>
      <c r="B22" s="530" t="s">
        <v>61</v>
      </c>
      <c r="C22" s="531">
        <v>3</v>
      </c>
      <c r="D22" s="542">
        <v>4929</v>
      </c>
      <c r="E22" s="535">
        <v>3</v>
      </c>
      <c r="F22" s="542">
        <v>5079</v>
      </c>
      <c r="G22" s="535">
        <f t="shared" si="0"/>
        <v>0</v>
      </c>
      <c r="H22" s="542">
        <f t="shared" si="0"/>
        <v>150</v>
      </c>
      <c r="I22" s="542"/>
      <c r="J22" s="542">
        <v>2032</v>
      </c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>
        <f t="shared" si="1"/>
        <v>0</v>
      </c>
    </row>
    <row r="23" spans="1:26" ht="14.45" customHeight="1" x14ac:dyDescent="0.25">
      <c r="A23" s="530" t="s">
        <v>376</v>
      </c>
      <c r="B23" s="530" t="s">
        <v>61</v>
      </c>
      <c r="C23" s="531">
        <v>5</v>
      </c>
      <c r="D23" s="542">
        <v>6572</v>
      </c>
      <c r="E23" s="535">
        <v>5</v>
      </c>
      <c r="F23" s="542">
        <v>8465</v>
      </c>
      <c r="G23" s="535">
        <f t="shared" si="0"/>
        <v>0</v>
      </c>
      <c r="H23" s="542">
        <f t="shared" si="0"/>
        <v>1893</v>
      </c>
      <c r="I23" s="542"/>
      <c r="J23" s="542">
        <v>3386</v>
      </c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>
        <f t="shared" si="1"/>
        <v>0</v>
      </c>
    </row>
    <row r="24" spans="1:26" ht="14.45" customHeight="1" x14ac:dyDescent="0.25">
      <c r="A24" s="530" t="s">
        <v>226</v>
      </c>
      <c r="B24" s="530" t="s">
        <v>115</v>
      </c>
      <c r="C24" s="531">
        <v>1</v>
      </c>
      <c r="D24" s="542">
        <v>865</v>
      </c>
      <c r="E24" s="535">
        <v>1</v>
      </c>
      <c r="F24" s="542">
        <v>443</v>
      </c>
      <c r="G24" s="535">
        <f t="shared" si="0"/>
        <v>0</v>
      </c>
      <c r="H24" s="542">
        <f t="shared" si="0"/>
        <v>-422</v>
      </c>
      <c r="I24" s="542"/>
      <c r="J24" s="542">
        <v>177</v>
      </c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>
        <f t="shared" si="1"/>
        <v>0</v>
      </c>
    </row>
    <row r="25" spans="1:26" ht="14.45" customHeight="1" x14ac:dyDescent="0.25">
      <c r="A25" s="530" t="s">
        <v>368</v>
      </c>
      <c r="B25" s="530" t="s">
        <v>115</v>
      </c>
      <c r="C25" s="531">
        <v>3</v>
      </c>
      <c r="D25" s="564">
        <v>2508.75</v>
      </c>
      <c r="E25" s="535">
        <v>3</v>
      </c>
      <c r="F25" s="581">
        <v>1156</v>
      </c>
      <c r="G25" s="535">
        <f t="shared" si="0"/>
        <v>0</v>
      </c>
      <c r="H25" s="542">
        <f t="shared" si="0"/>
        <v>-1352.75</v>
      </c>
      <c r="I25" s="542"/>
      <c r="J25" s="542">
        <v>462</v>
      </c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>
        <f t="shared" si="1"/>
        <v>0</v>
      </c>
    </row>
    <row r="26" spans="1:26" ht="14.45" customHeight="1" x14ac:dyDescent="0.25">
      <c r="A26" s="530" t="s">
        <v>365</v>
      </c>
      <c r="B26" s="530" t="s">
        <v>115</v>
      </c>
      <c r="C26" s="531">
        <v>9</v>
      </c>
      <c r="D26" s="564">
        <v>5500.5</v>
      </c>
      <c r="E26" s="535">
        <v>9</v>
      </c>
      <c r="F26" s="581">
        <v>6573</v>
      </c>
      <c r="G26" s="535">
        <f t="shared" si="0"/>
        <v>0</v>
      </c>
      <c r="H26" s="542">
        <f t="shared" si="0"/>
        <v>1072.5</v>
      </c>
      <c r="I26" s="542"/>
      <c r="J26" s="542">
        <v>2629</v>
      </c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</row>
    <row r="27" spans="1:26" ht="14.45" customHeight="1" x14ac:dyDescent="0.25">
      <c r="A27" s="536" t="s">
        <v>367</v>
      </c>
      <c r="B27" s="530" t="s">
        <v>115</v>
      </c>
      <c r="C27" s="531">
        <v>3</v>
      </c>
      <c r="D27" s="564">
        <v>1698.75</v>
      </c>
      <c r="E27" s="535">
        <v>3</v>
      </c>
      <c r="F27" s="581">
        <v>2030</v>
      </c>
      <c r="G27" s="535">
        <f t="shared" si="0"/>
        <v>0</v>
      </c>
      <c r="H27" s="542">
        <f t="shared" si="0"/>
        <v>331.25</v>
      </c>
      <c r="I27" s="542"/>
      <c r="J27" s="542">
        <v>812</v>
      </c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>
        <f t="shared" si="1"/>
        <v>0</v>
      </c>
    </row>
    <row r="28" spans="1:26" ht="14.45" customHeight="1" x14ac:dyDescent="0.25">
      <c r="A28" s="531" t="s">
        <v>364</v>
      </c>
      <c r="B28" s="530" t="s">
        <v>115</v>
      </c>
      <c r="C28" s="531">
        <v>11</v>
      </c>
      <c r="D28" s="564">
        <v>7769.25</v>
      </c>
      <c r="E28" s="535">
        <v>11</v>
      </c>
      <c r="F28" s="581">
        <f>9284</f>
        <v>9284</v>
      </c>
      <c r="G28" s="535">
        <f t="shared" si="0"/>
        <v>0</v>
      </c>
      <c r="H28" s="542">
        <f t="shared" si="0"/>
        <v>1514.75</v>
      </c>
      <c r="I28" s="542"/>
      <c r="J28" s="542">
        <v>3480</v>
      </c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>
        <f t="shared" si="1"/>
        <v>0</v>
      </c>
    </row>
    <row r="29" spans="1:26" ht="14.45" customHeight="1" x14ac:dyDescent="0.25">
      <c r="A29" s="531" t="s">
        <v>1595</v>
      </c>
      <c r="B29" s="530" t="s">
        <v>115</v>
      </c>
      <c r="C29" s="531">
        <v>4</v>
      </c>
      <c r="D29" s="564">
        <v>5025.25</v>
      </c>
      <c r="E29" s="535">
        <v>4</v>
      </c>
      <c r="F29" s="581">
        <v>4539</v>
      </c>
      <c r="G29" s="535">
        <f t="shared" si="0"/>
        <v>0</v>
      </c>
      <c r="H29" s="542">
        <f t="shared" si="0"/>
        <v>-486.25</v>
      </c>
      <c r="I29" s="542"/>
      <c r="J29" s="542">
        <v>1816</v>
      </c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>
        <f t="shared" si="1"/>
        <v>0</v>
      </c>
    </row>
    <row r="30" spans="1:26" ht="14.45" customHeight="1" x14ac:dyDescent="0.25">
      <c r="A30" s="531" t="s">
        <v>366</v>
      </c>
      <c r="B30" s="530" t="s">
        <v>115</v>
      </c>
      <c r="C30" s="531">
        <v>6</v>
      </c>
      <c r="D30" s="564">
        <v>3802</v>
      </c>
      <c r="E30" s="535">
        <v>6</v>
      </c>
      <c r="F30" s="581">
        <v>4059</v>
      </c>
      <c r="G30" s="535">
        <f t="shared" si="0"/>
        <v>0</v>
      </c>
      <c r="H30" s="542">
        <f t="shared" si="0"/>
        <v>257</v>
      </c>
      <c r="I30" s="542"/>
      <c r="J30" s="542">
        <v>1623</v>
      </c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>
        <f t="shared" si="1"/>
        <v>0</v>
      </c>
    </row>
    <row r="31" spans="1:26" ht="14.45" customHeight="1" x14ac:dyDescent="0.25">
      <c r="A31" s="531" t="s">
        <v>363</v>
      </c>
      <c r="B31" s="530" t="s">
        <v>115</v>
      </c>
      <c r="C31" s="531">
        <v>11</v>
      </c>
      <c r="D31" s="564">
        <v>12321.5</v>
      </c>
      <c r="E31" s="535">
        <v>11</v>
      </c>
      <c r="F31" s="581">
        <f>11221+2200</f>
        <v>13421</v>
      </c>
      <c r="G31" s="535">
        <f t="shared" si="0"/>
        <v>0</v>
      </c>
      <c r="H31" s="542">
        <f t="shared" si="0"/>
        <v>1099.5</v>
      </c>
      <c r="I31" s="542"/>
      <c r="J31" s="542">
        <v>3480</v>
      </c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>
        <f t="shared" si="1"/>
        <v>0</v>
      </c>
    </row>
    <row r="32" spans="1:26" ht="14.45" customHeight="1" x14ac:dyDescent="0.25">
      <c r="A32" s="531"/>
      <c r="B32" s="530"/>
      <c r="C32" s="531"/>
      <c r="D32" s="542"/>
      <c r="E32" s="535"/>
      <c r="F32" s="542"/>
      <c r="G32" s="535">
        <f t="shared" si="0"/>
        <v>0</v>
      </c>
      <c r="H32" s="542">
        <f t="shared" si="0"/>
        <v>0</v>
      </c>
      <c r="I32" s="542"/>
      <c r="J32" s="542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>
        <f t="shared" si="1"/>
        <v>0</v>
      </c>
    </row>
    <row r="33" spans="1:26" ht="14.45" customHeight="1" x14ac:dyDescent="0.25">
      <c r="A33" s="531"/>
      <c r="B33" s="530"/>
      <c r="C33" s="531"/>
      <c r="D33" s="542"/>
      <c r="E33" s="535"/>
      <c r="F33" s="542"/>
      <c r="G33" s="535">
        <f t="shared" si="0"/>
        <v>0</v>
      </c>
      <c r="H33" s="542">
        <f t="shared" si="0"/>
        <v>0</v>
      </c>
      <c r="I33" s="542"/>
      <c r="J33" s="542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>
        <f t="shared" si="1"/>
        <v>0</v>
      </c>
    </row>
    <row r="34" spans="1:26" ht="14.45" customHeight="1" x14ac:dyDescent="0.25">
      <c r="A34" s="531"/>
      <c r="B34" s="530"/>
      <c r="C34" s="531"/>
      <c r="D34" s="542"/>
      <c r="E34" s="535"/>
      <c r="F34" s="542"/>
      <c r="G34" s="535">
        <f t="shared" si="0"/>
        <v>0</v>
      </c>
      <c r="H34" s="542">
        <f t="shared" si="0"/>
        <v>0</v>
      </c>
      <c r="I34" s="542"/>
      <c r="J34" s="542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>
        <f t="shared" si="1"/>
        <v>0</v>
      </c>
    </row>
    <row r="35" spans="1:26" ht="14.45" customHeight="1" x14ac:dyDescent="0.25">
      <c r="A35" s="531"/>
      <c r="B35" s="530"/>
      <c r="C35" s="531"/>
      <c r="D35" s="542"/>
      <c r="E35" s="535"/>
      <c r="F35" s="542"/>
      <c r="G35" s="535">
        <f t="shared" si="0"/>
        <v>0</v>
      </c>
      <c r="H35" s="542">
        <f t="shared" si="0"/>
        <v>0</v>
      </c>
      <c r="I35" s="542"/>
      <c r="J35" s="542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>
        <f t="shared" si="1"/>
        <v>0</v>
      </c>
    </row>
    <row r="36" spans="1:26" ht="14.45" hidden="1" customHeight="1" x14ac:dyDescent="0.25">
      <c r="A36" s="531"/>
      <c r="B36" s="530"/>
      <c r="C36" s="531"/>
      <c r="D36" s="542"/>
      <c r="E36" s="535"/>
      <c r="F36" s="542"/>
      <c r="G36" s="535">
        <f t="shared" ref="G36:H67" si="2">E36-C36</f>
        <v>0</v>
      </c>
      <c r="H36" s="542">
        <f t="shared" si="2"/>
        <v>0</v>
      </c>
      <c r="I36" s="542"/>
      <c r="J36" s="542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>
        <f t="shared" si="1"/>
        <v>0</v>
      </c>
    </row>
    <row r="37" spans="1:26" ht="14.45" hidden="1" customHeight="1" x14ac:dyDescent="0.25">
      <c r="A37" s="530"/>
      <c r="B37" s="530"/>
      <c r="C37" s="531"/>
      <c r="D37" s="542"/>
      <c r="E37" s="535"/>
      <c r="F37" s="542"/>
      <c r="G37" s="535">
        <f t="shared" si="2"/>
        <v>0</v>
      </c>
      <c r="H37" s="542">
        <f t="shared" si="2"/>
        <v>0</v>
      </c>
      <c r="I37" s="542"/>
      <c r="J37" s="542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>
        <f t="shared" si="1"/>
        <v>0</v>
      </c>
    </row>
    <row r="38" spans="1:26" ht="14.45" hidden="1" customHeight="1" x14ac:dyDescent="0.25">
      <c r="A38" s="530"/>
      <c r="B38" s="530"/>
      <c r="C38" s="531"/>
      <c r="D38" s="542"/>
      <c r="E38" s="535"/>
      <c r="F38" s="542"/>
      <c r="G38" s="535">
        <f t="shared" si="2"/>
        <v>0</v>
      </c>
      <c r="H38" s="542">
        <f t="shared" si="2"/>
        <v>0</v>
      </c>
      <c r="I38" s="542"/>
      <c r="J38" s="542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>
        <f t="shared" si="1"/>
        <v>0</v>
      </c>
    </row>
    <row r="39" spans="1:26" ht="14.45" hidden="1" customHeight="1" x14ac:dyDescent="0.25">
      <c r="A39" s="530"/>
      <c r="B39" s="530"/>
      <c r="C39" s="531"/>
      <c r="D39" s="542"/>
      <c r="E39" s="535"/>
      <c r="F39" s="542"/>
      <c r="G39" s="535">
        <f t="shared" si="2"/>
        <v>0</v>
      </c>
      <c r="H39" s="542">
        <f t="shared" si="2"/>
        <v>0</v>
      </c>
      <c r="I39" s="542"/>
      <c r="J39" s="542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>
        <f t="shared" si="1"/>
        <v>0</v>
      </c>
    </row>
    <row r="40" spans="1:26" ht="14.45" hidden="1" customHeight="1" x14ac:dyDescent="0.25">
      <c r="A40" s="530"/>
      <c r="B40" s="530"/>
      <c r="C40" s="531"/>
      <c r="D40" s="542"/>
      <c r="E40" s="535"/>
      <c r="F40" s="542"/>
      <c r="G40" s="535">
        <f t="shared" si="2"/>
        <v>0</v>
      </c>
      <c r="H40" s="542">
        <f t="shared" si="2"/>
        <v>0</v>
      </c>
      <c r="I40" s="542"/>
      <c r="J40" s="542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>
        <f t="shared" si="1"/>
        <v>0</v>
      </c>
    </row>
    <row r="41" spans="1:26" ht="14.45" hidden="1" customHeight="1" x14ac:dyDescent="0.25">
      <c r="A41" s="530"/>
      <c r="B41" s="530"/>
      <c r="C41" s="531"/>
      <c r="D41" s="542"/>
      <c r="E41" s="535"/>
      <c r="F41" s="542"/>
      <c r="G41" s="535">
        <f t="shared" si="2"/>
        <v>0</v>
      </c>
      <c r="H41" s="542">
        <f t="shared" si="2"/>
        <v>0</v>
      </c>
      <c r="I41" s="542"/>
      <c r="J41" s="542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>
        <f t="shared" si="1"/>
        <v>0</v>
      </c>
    </row>
    <row r="42" spans="1:26" ht="15" hidden="1" customHeight="1" x14ac:dyDescent="0.25">
      <c r="A42" s="530"/>
      <c r="B42" s="530"/>
      <c r="C42" s="531"/>
      <c r="D42" s="542"/>
      <c r="E42" s="535"/>
      <c r="F42" s="542"/>
      <c r="G42" s="535">
        <f t="shared" si="2"/>
        <v>0</v>
      </c>
      <c r="H42" s="542">
        <f t="shared" si="2"/>
        <v>0</v>
      </c>
      <c r="I42" s="542"/>
      <c r="J42" s="542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>
        <f t="shared" si="1"/>
        <v>0</v>
      </c>
    </row>
    <row r="43" spans="1:26" ht="15" hidden="1" customHeight="1" x14ac:dyDescent="0.25">
      <c r="A43" s="530"/>
      <c r="B43" s="530"/>
      <c r="C43" s="531"/>
      <c r="D43" s="542"/>
      <c r="E43" s="535"/>
      <c r="F43" s="542"/>
      <c r="G43" s="535">
        <f t="shared" si="2"/>
        <v>0</v>
      </c>
      <c r="H43" s="542">
        <f t="shared" si="2"/>
        <v>0</v>
      </c>
      <c r="I43" s="542"/>
      <c r="J43" s="542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>
        <f t="shared" si="1"/>
        <v>0</v>
      </c>
    </row>
    <row r="44" spans="1:26" ht="15" hidden="1" customHeight="1" x14ac:dyDescent="0.25">
      <c r="A44" s="530"/>
      <c r="B44" s="530"/>
      <c r="C44" s="530"/>
      <c r="D44" s="542"/>
      <c r="E44" s="535"/>
      <c r="F44" s="542"/>
      <c r="G44" s="535">
        <f t="shared" si="2"/>
        <v>0</v>
      </c>
      <c r="H44" s="542">
        <f t="shared" si="2"/>
        <v>0</v>
      </c>
      <c r="I44" s="542"/>
      <c r="J44" s="542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>
        <f t="shared" si="1"/>
        <v>0</v>
      </c>
    </row>
    <row r="45" spans="1:26" ht="15" hidden="1" customHeight="1" x14ac:dyDescent="0.25">
      <c r="A45" s="530"/>
      <c r="B45" s="530"/>
      <c r="C45" s="531"/>
      <c r="D45" s="542"/>
      <c r="E45" s="535"/>
      <c r="F45" s="542"/>
      <c r="G45" s="535">
        <f t="shared" si="2"/>
        <v>0</v>
      </c>
      <c r="H45" s="542">
        <f t="shared" si="2"/>
        <v>0</v>
      </c>
      <c r="I45" s="542"/>
      <c r="J45" s="542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>
        <f t="shared" si="1"/>
        <v>0</v>
      </c>
    </row>
    <row r="46" spans="1:26" ht="15" hidden="1" customHeight="1" x14ac:dyDescent="0.25">
      <c r="A46" s="530"/>
      <c r="B46" s="530"/>
      <c r="C46" s="531"/>
      <c r="D46" s="542"/>
      <c r="E46" s="535"/>
      <c r="F46" s="542"/>
      <c r="G46" s="535">
        <f t="shared" si="2"/>
        <v>0</v>
      </c>
      <c r="H46" s="542">
        <f t="shared" si="2"/>
        <v>0</v>
      </c>
      <c r="I46" s="542"/>
      <c r="J46" s="542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>
        <f t="shared" si="1"/>
        <v>0</v>
      </c>
    </row>
    <row r="47" spans="1:26" ht="15" hidden="1" customHeight="1" x14ac:dyDescent="0.25">
      <c r="A47" s="530"/>
      <c r="B47" s="530"/>
      <c r="C47" s="531"/>
      <c r="D47" s="542"/>
      <c r="E47" s="535"/>
      <c r="F47" s="542"/>
      <c r="G47" s="535">
        <f t="shared" si="2"/>
        <v>0</v>
      </c>
      <c r="H47" s="542">
        <f t="shared" si="2"/>
        <v>0</v>
      </c>
      <c r="I47" s="542"/>
      <c r="J47" s="542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>
        <f t="shared" si="1"/>
        <v>0</v>
      </c>
    </row>
    <row r="48" spans="1:26" ht="15" hidden="1" customHeight="1" x14ac:dyDescent="0.25">
      <c r="A48" s="537"/>
      <c r="B48" s="530"/>
      <c r="C48" s="531"/>
      <c r="D48" s="542"/>
      <c r="E48" s="535"/>
      <c r="F48" s="542"/>
      <c r="G48" s="535">
        <f t="shared" si="2"/>
        <v>0</v>
      </c>
      <c r="H48" s="542">
        <f t="shared" si="2"/>
        <v>0</v>
      </c>
      <c r="I48" s="542"/>
      <c r="J48" s="542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>
        <f t="shared" si="1"/>
        <v>0</v>
      </c>
    </row>
    <row r="49" spans="1:26" ht="15" hidden="1" customHeight="1" x14ac:dyDescent="0.25">
      <c r="A49" s="531"/>
      <c r="B49" s="530"/>
      <c r="C49" s="531"/>
      <c r="D49" s="542"/>
      <c r="E49" s="535"/>
      <c r="F49" s="542"/>
      <c r="G49" s="535">
        <f t="shared" si="2"/>
        <v>0</v>
      </c>
      <c r="H49" s="542">
        <f t="shared" si="2"/>
        <v>0</v>
      </c>
      <c r="I49" s="542"/>
      <c r="J49" s="542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>
        <f t="shared" si="1"/>
        <v>0</v>
      </c>
    </row>
    <row r="50" spans="1:26" ht="15" hidden="1" customHeight="1" x14ac:dyDescent="0.25">
      <c r="A50" s="530"/>
      <c r="B50" s="530"/>
      <c r="C50" s="530"/>
      <c r="D50" s="542"/>
      <c r="E50" s="530"/>
      <c r="F50" s="542"/>
      <c r="G50" s="535">
        <f t="shared" si="2"/>
        <v>0</v>
      </c>
      <c r="H50" s="542">
        <f t="shared" si="2"/>
        <v>0</v>
      </c>
      <c r="I50" s="542"/>
      <c r="J50" s="542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>
        <f t="shared" si="1"/>
        <v>0</v>
      </c>
    </row>
    <row r="51" spans="1:26" ht="15" hidden="1" customHeight="1" x14ac:dyDescent="0.25">
      <c r="A51" s="530"/>
      <c r="B51" s="530"/>
      <c r="C51" s="530"/>
      <c r="D51" s="542"/>
      <c r="E51" s="530"/>
      <c r="F51" s="542"/>
      <c r="G51" s="535">
        <f t="shared" si="2"/>
        <v>0</v>
      </c>
      <c r="H51" s="542">
        <f t="shared" si="2"/>
        <v>0</v>
      </c>
      <c r="I51" s="542"/>
      <c r="J51" s="542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>
        <f t="shared" si="1"/>
        <v>0</v>
      </c>
    </row>
    <row r="52" spans="1:26" ht="15" hidden="1" customHeight="1" x14ac:dyDescent="0.25">
      <c r="A52" s="530"/>
      <c r="B52" s="530"/>
      <c r="C52" s="530"/>
      <c r="D52" s="542"/>
      <c r="E52" s="530"/>
      <c r="F52" s="542"/>
      <c r="G52" s="535">
        <f t="shared" si="2"/>
        <v>0</v>
      </c>
      <c r="H52" s="542">
        <f t="shared" si="2"/>
        <v>0</v>
      </c>
      <c r="I52" s="542"/>
      <c r="J52" s="542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>
        <f t="shared" si="1"/>
        <v>0</v>
      </c>
    </row>
    <row r="53" spans="1:26" ht="15" hidden="1" customHeight="1" x14ac:dyDescent="0.25">
      <c r="A53" s="530"/>
      <c r="B53" s="530"/>
      <c r="C53" s="530"/>
      <c r="D53" s="542"/>
      <c r="E53" s="530"/>
      <c r="F53" s="542"/>
      <c r="G53" s="535">
        <f t="shared" si="2"/>
        <v>0</v>
      </c>
      <c r="H53" s="542">
        <f t="shared" si="2"/>
        <v>0</v>
      </c>
      <c r="I53" s="542"/>
      <c r="J53" s="542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>
        <f t="shared" si="1"/>
        <v>0</v>
      </c>
    </row>
    <row r="54" spans="1:26" ht="15" hidden="1" customHeight="1" x14ac:dyDescent="0.25">
      <c r="A54" s="530"/>
      <c r="B54" s="530"/>
      <c r="C54" s="530"/>
      <c r="D54" s="542"/>
      <c r="E54" s="530"/>
      <c r="F54" s="542"/>
      <c r="G54" s="535">
        <f t="shared" si="2"/>
        <v>0</v>
      </c>
      <c r="H54" s="542">
        <f t="shared" si="2"/>
        <v>0</v>
      </c>
      <c r="I54" s="542"/>
      <c r="J54" s="542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>
        <f t="shared" si="1"/>
        <v>0</v>
      </c>
    </row>
    <row r="55" spans="1:26" ht="15" hidden="1" customHeight="1" x14ac:dyDescent="0.25">
      <c r="A55" s="530"/>
      <c r="B55" s="530"/>
      <c r="C55" s="530"/>
      <c r="D55" s="542"/>
      <c r="E55" s="530"/>
      <c r="F55" s="542"/>
      <c r="G55" s="535">
        <f t="shared" si="2"/>
        <v>0</v>
      </c>
      <c r="H55" s="542">
        <f t="shared" si="2"/>
        <v>0</v>
      </c>
      <c r="I55" s="542"/>
      <c r="J55" s="542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>
        <f t="shared" si="1"/>
        <v>0</v>
      </c>
    </row>
    <row r="56" spans="1:26" ht="15" hidden="1" customHeight="1" x14ac:dyDescent="0.25">
      <c r="A56" s="530"/>
      <c r="B56" s="530"/>
      <c r="C56" s="530"/>
      <c r="D56" s="542"/>
      <c r="E56" s="530"/>
      <c r="F56" s="542"/>
      <c r="G56" s="535">
        <f t="shared" si="2"/>
        <v>0</v>
      </c>
      <c r="H56" s="542">
        <f t="shared" si="2"/>
        <v>0</v>
      </c>
      <c r="I56" s="542"/>
      <c r="J56" s="542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>
        <f t="shared" si="1"/>
        <v>0</v>
      </c>
    </row>
    <row r="57" spans="1:26" ht="15" hidden="1" customHeight="1" x14ac:dyDescent="0.25">
      <c r="A57" s="530"/>
      <c r="B57" s="530"/>
      <c r="C57" s="531"/>
      <c r="D57" s="542"/>
      <c r="E57" s="531"/>
      <c r="F57" s="542"/>
      <c r="G57" s="535">
        <f t="shared" si="2"/>
        <v>0</v>
      </c>
      <c r="H57" s="542">
        <f t="shared" si="2"/>
        <v>0</v>
      </c>
      <c r="I57" s="542"/>
      <c r="J57" s="542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>
        <f t="shared" si="1"/>
        <v>0</v>
      </c>
    </row>
    <row r="58" spans="1:26" ht="15" hidden="1" customHeight="1" x14ac:dyDescent="0.25">
      <c r="A58" s="530"/>
      <c r="B58" s="530"/>
      <c r="C58" s="531"/>
      <c r="D58" s="542"/>
      <c r="E58" s="531"/>
      <c r="F58" s="542"/>
      <c r="G58" s="535">
        <f t="shared" si="2"/>
        <v>0</v>
      </c>
      <c r="H58" s="542">
        <f t="shared" si="2"/>
        <v>0</v>
      </c>
      <c r="I58" s="542"/>
      <c r="J58" s="542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>
        <f t="shared" si="1"/>
        <v>0</v>
      </c>
    </row>
    <row r="59" spans="1:26" ht="15" hidden="1" customHeight="1" x14ac:dyDescent="0.25">
      <c r="A59" s="530"/>
      <c r="B59" s="530"/>
      <c r="C59" s="531"/>
      <c r="D59" s="542"/>
      <c r="E59" s="531"/>
      <c r="F59" s="542"/>
      <c r="G59" s="535">
        <f t="shared" si="2"/>
        <v>0</v>
      </c>
      <c r="H59" s="542">
        <f t="shared" si="2"/>
        <v>0</v>
      </c>
      <c r="I59" s="542"/>
      <c r="J59" s="54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>
        <f t="shared" si="1"/>
        <v>0</v>
      </c>
    </row>
    <row r="60" spans="1:26" ht="15" hidden="1" customHeight="1" x14ac:dyDescent="0.25">
      <c r="A60" s="530"/>
      <c r="B60" s="530"/>
      <c r="C60" s="531"/>
      <c r="D60" s="542"/>
      <c r="E60" s="535"/>
      <c r="F60" s="542"/>
      <c r="G60" s="535">
        <f t="shared" si="2"/>
        <v>0</v>
      </c>
      <c r="H60" s="542">
        <f t="shared" si="2"/>
        <v>0</v>
      </c>
      <c r="I60" s="542"/>
      <c r="J60" s="54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>
        <f t="shared" si="1"/>
        <v>0</v>
      </c>
    </row>
    <row r="61" spans="1:26" ht="15" hidden="1" customHeight="1" x14ac:dyDescent="0.25">
      <c r="A61" s="530"/>
      <c r="B61" s="530"/>
      <c r="C61" s="531"/>
      <c r="D61" s="542"/>
      <c r="E61" s="535"/>
      <c r="F61" s="542"/>
      <c r="G61" s="535">
        <f t="shared" si="2"/>
        <v>0</v>
      </c>
      <c r="H61" s="542">
        <f t="shared" si="2"/>
        <v>0</v>
      </c>
      <c r="I61" s="542"/>
      <c r="J61" s="542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>
        <f t="shared" si="1"/>
        <v>0</v>
      </c>
    </row>
    <row r="62" spans="1:26" ht="15" hidden="1" customHeight="1" x14ac:dyDescent="0.25">
      <c r="A62" s="530"/>
      <c r="B62" s="530"/>
      <c r="C62" s="531"/>
      <c r="D62" s="542"/>
      <c r="E62" s="535"/>
      <c r="F62" s="542"/>
      <c r="G62" s="535">
        <f t="shared" si="2"/>
        <v>0</v>
      </c>
      <c r="H62" s="542">
        <f t="shared" si="2"/>
        <v>0</v>
      </c>
      <c r="I62" s="542"/>
      <c r="J62" s="542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>
        <f t="shared" si="1"/>
        <v>0</v>
      </c>
    </row>
    <row r="63" spans="1:26" ht="15" hidden="1" customHeight="1" x14ac:dyDescent="0.25">
      <c r="A63" s="530"/>
      <c r="B63" s="530"/>
      <c r="C63" s="531"/>
      <c r="D63" s="542"/>
      <c r="E63" s="535"/>
      <c r="F63" s="542"/>
      <c r="G63" s="535">
        <f t="shared" si="2"/>
        <v>0</v>
      </c>
      <c r="H63" s="542">
        <f t="shared" si="2"/>
        <v>0</v>
      </c>
      <c r="I63" s="542"/>
      <c r="J63" s="542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>
        <f t="shared" si="1"/>
        <v>0</v>
      </c>
    </row>
    <row r="64" spans="1:26" ht="15" hidden="1" customHeight="1" x14ac:dyDescent="0.25">
      <c r="A64" s="530"/>
      <c r="B64" s="530"/>
      <c r="C64" s="531"/>
      <c r="D64" s="542"/>
      <c r="E64" s="535"/>
      <c r="F64" s="542"/>
      <c r="G64" s="535">
        <f t="shared" si="2"/>
        <v>0</v>
      </c>
      <c r="H64" s="542">
        <f t="shared" si="2"/>
        <v>0</v>
      </c>
      <c r="I64" s="542"/>
      <c r="J64" s="542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>
        <f t="shared" si="1"/>
        <v>0</v>
      </c>
    </row>
    <row r="65" spans="1:26" ht="15" hidden="1" customHeight="1" x14ac:dyDescent="0.25">
      <c r="A65" s="530"/>
      <c r="B65" s="530"/>
      <c r="C65" s="531"/>
      <c r="D65" s="542"/>
      <c r="E65" s="535"/>
      <c r="F65" s="542"/>
      <c r="G65" s="535">
        <f t="shared" si="2"/>
        <v>0</v>
      </c>
      <c r="H65" s="542">
        <f t="shared" si="2"/>
        <v>0</v>
      </c>
      <c r="I65" s="542"/>
      <c r="J65" s="542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>
        <f t="shared" si="1"/>
        <v>0</v>
      </c>
    </row>
    <row r="66" spans="1:26" ht="15" hidden="1" customHeight="1" x14ac:dyDescent="0.25">
      <c r="A66" s="530"/>
      <c r="B66" s="530"/>
      <c r="C66" s="531"/>
      <c r="D66" s="542"/>
      <c r="E66" s="535"/>
      <c r="F66" s="542"/>
      <c r="G66" s="535">
        <f t="shared" si="2"/>
        <v>0</v>
      </c>
      <c r="H66" s="542">
        <f t="shared" si="2"/>
        <v>0</v>
      </c>
      <c r="I66" s="542"/>
      <c r="J66" s="542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>
        <f t="shared" si="1"/>
        <v>0</v>
      </c>
    </row>
    <row r="67" spans="1:26" ht="15" hidden="1" customHeight="1" x14ac:dyDescent="0.25">
      <c r="A67" s="530"/>
      <c r="B67" s="530"/>
      <c r="C67" s="531"/>
      <c r="D67" s="542"/>
      <c r="E67" s="535"/>
      <c r="F67" s="542"/>
      <c r="G67" s="535">
        <f t="shared" si="2"/>
        <v>0</v>
      </c>
      <c r="H67" s="542">
        <f t="shared" si="2"/>
        <v>0</v>
      </c>
      <c r="I67" s="542"/>
      <c r="J67" s="542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>
        <f t="shared" si="1"/>
        <v>0</v>
      </c>
    </row>
    <row r="68" spans="1:26" ht="15" hidden="1" customHeight="1" x14ac:dyDescent="0.25">
      <c r="A68" s="530"/>
      <c r="B68" s="530"/>
      <c r="C68" s="531"/>
      <c r="D68" s="542"/>
      <c r="E68" s="535"/>
      <c r="F68" s="542"/>
      <c r="G68" s="535">
        <f t="shared" ref="G68:H82" si="3">E68-C68</f>
        <v>0</v>
      </c>
      <c r="H68" s="542">
        <f t="shared" si="3"/>
        <v>0</v>
      </c>
      <c r="I68" s="542"/>
      <c r="J68" s="542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>
        <f t="shared" ref="Z68:Z82" si="4">SUM(K68:Y68)</f>
        <v>0</v>
      </c>
    </row>
    <row r="69" spans="1:26" ht="15" hidden="1" customHeight="1" x14ac:dyDescent="0.25">
      <c r="A69" s="530"/>
      <c r="B69" s="530"/>
      <c r="C69" s="531"/>
      <c r="D69" s="542"/>
      <c r="E69" s="535"/>
      <c r="F69" s="542"/>
      <c r="G69" s="535">
        <f t="shared" si="3"/>
        <v>0</v>
      </c>
      <c r="H69" s="542">
        <f t="shared" si="3"/>
        <v>0</v>
      </c>
      <c r="I69" s="542"/>
      <c r="J69" s="542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>
        <f t="shared" si="4"/>
        <v>0</v>
      </c>
    </row>
    <row r="70" spans="1:26" ht="15" hidden="1" customHeight="1" x14ac:dyDescent="0.25">
      <c r="A70" s="530"/>
      <c r="B70" s="530"/>
      <c r="C70" s="531"/>
      <c r="D70" s="542"/>
      <c r="E70" s="535"/>
      <c r="F70" s="542"/>
      <c r="G70" s="535">
        <f t="shared" si="3"/>
        <v>0</v>
      </c>
      <c r="H70" s="542">
        <f t="shared" si="3"/>
        <v>0</v>
      </c>
      <c r="I70" s="542"/>
      <c r="J70" s="542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>
        <f t="shared" si="4"/>
        <v>0</v>
      </c>
    </row>
    <row r="71" spans="1:26" ht="15" hidden="1" customHeight="1" x14ac:dyDescent="0.25">
      <c r="A71" s="530"/>
      <c r="B71" s="530"/>
      <c r="C71" s="531"/>
      <c r="D71" s="542"/>
      <c r="E71" s="535"/>
      <c r="F71" s="542"/>
      <c r="G71" s="535">
        <f t="shared" si="3"/>
        <v>0</v>
      </c>
      <c r="H71" s="542">
        <f t="shared" si="3"/>
        <v>0</v>
      </c>
      <c r="I71" s="542"/>
      <c r="J71" s="542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>
        <f t="shared" si="4"/>
        <v>0</v>
      </c>
    </row>
    <row r="72" spans="1:26" ht="15" hidden="1" customHeight="1" x14ac:dyDescent="0.25">
      <c r="A72" s="534"/>
      <c r="B72" s="530"/>
      <c r="C72" s="531"/>
      <c r="D72" s="542"/>
      <c r="E72" s="535"/>
      <c r="F72" s="542"/>
      <c r="G72" s="535">
        <f t="shared" si="3"/>
        <v>0</v>
      </c>
      <c r="H72" s="542">
        <f t="shared" si="3"/>
        <v>0</v>
      </c>
      <c r="I72" s="542"/>
      <c r="J72" s="542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>
        <f t="shared" si="4"/>
        <v>0</v>
      </c>
    </row>
    <row r="73" spans="1:26" ht="15" hidden="1" customHeight="1" x14ac:dyDescent="0.25">
      <c r="A73" s="530"/>
      <c r="B73" s="530"/>
      <c r="C73" s="531"/>
      <c r="D73" s="542"/>
      <c r="E73" s="535"/>
      <c r="F73" s="542"/>
      <c r="G73" s="535">
        <f t="shared" si="3"/>
        <v>0</v>
      </c>
      <c r="H73" s="542">
        <f t="shared" si="3"/>
        <v>0</v>
      </c>
      <c r="I73" s="542"/>
      <c r="J73" s="542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>
        <f t="shared" si="4"/>
        <v>0</v>
      </c>
    </row>
    <row r="74" spans="1:26" ht="15" hidden="1" customHeight="1" x14ac:dyDescent="0.25">
      <c r="A74" s="534"/>
      <c r="B74" s="530"/>
      <c r="C74" s="531"/>
      <c r="D74" s="542"/>
      <c r="E74" s="535"/>
      <c r="F74" s="542"/>
      <c r="G74" s="535">
        <f t="shared" si="3"/>
        <v>0</v>
      </c>
      <c r="H74" s="542">
        <f t="shared" si="3"/>
        <v>0</v>
      </c>
      <c r="I74" s="542"/>
      <c r="J74" s="542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>
        <f t="shared" si="4"/>
        <v>0</v>
      </c>
    </row>
    <row r="75" spans="1:26" ht="15" hidden="1" customHeight="1" x14ac:dyDescent="0.25">
      <c r="A75" s="530"/>
      <c r="B75" s="530"/>
      <c r="C75" s="531"/>
      <c r="D75" s="542"/>
      <c r="E75" s="535"/>
      <c r="F75" s="542"/>
      <c r="G75" s="535">
        <f t="shared" si="3"/>
        <v>0</v>
      </c>
      <c r="H75" s="542">
        <f t="shared" si="3"/>
        <v>0</v>
      </c>
      <c r="I75" s="542"/>
      <c r="J75" s="542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>
        <f t="shared" si="4"/>
        <v>0</v>
      </c>
    </row>
    <row r="76" spans="1:26" ht="15" hidden="1" customHeight="1" x14ac:dyDescent="0.25">
      <c r="A76" s="533"/>
      <c r="B76" s="530"/>
      <c r="C76" s="531"/>
      <c r="D76" s="542"/>
      <c r="E76" s="535"/>
      <c r="F76" s="542"/>
      <c r="G76" s="535">
        <f t="shared" si="3"/>
        <v>0</v>
      </c>
      <c r="H76" s="542">
        <f t="shared" si="3"/>
        <v>0</v>
      </c>
      <c r="I76" s="542"/>
      <c r="J76" s="542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>
        <f t="shared" si="4"/>
        <v>0</v>
      </c>
    </row>
    <row r="77" spans="1:26" ht="15" hidden="1" customHeight="1" x14ac:dyDescent="0.25">
      <c r="A77" s="530"/>
      <c r="B77" s="530"/>
      <c r="C77" s="531"/>
      <c r="D77" s="542"/>
      <c r="E77" s="535"/>
      <c r="F77" s="542"/>
      <c r="G77" s="535">
        <f t="shared" si="3"/>
        <v>0</v>
      </c>
      <c r="H77" s="542">
        <f t="shared" si="3"/>
        <v>0</v>
      </c>
      <c r="I77" s="542"/>
      <c r="J77" s="542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>
        <f t="shared" si="4"/>
        <v>0</v>
      </c>
    </row>
    <row r="78" spans="1:26" ht="15" hidden="1" customHeight="1" x14ac:dyDescent="0.25">
      <c r="A78" s="530"/>
      <c r="B78" s="530"/>
      <c r="C78" s="531"/>
      <c r="D78" s="542"/>
      <c r="E78" s="535"/>
      <c r="F78" s="542"/>
      <c r="G78" s="535">
        <f t="shared" si="3"/>
        <v>0</v>
      </c>
      <c r="H78" s="542">
        <f t="shared" si="3"/>
        <v>0</v>
      </c>
      <c r="I78" s="542"/>
      <c r="J78" s="542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>
        <f t="shared" si="4"/>
        <v>0</v>
      </c>
    </row>
    <row r="79" spans="1:26" ht="15" hidden="1" customHeight="1" x14ac:dyDescent="0.25">
      <c r="A79" s="530"/>
      <c r="B79" s="530"/>
      <c r="C79" s="531"/>
      <c r="D79" s="542"/>
      <c r="E79" s="535"/>
      <c r="F79" s="542"/>
      <c r="G79" s="535">
        <f t="shared" si="3"/>
        <v>0</v>
      </c>
      <c r="H79" s="542">
        <f t="shared" si="3"/>
        <v>0</v>
      </c>
      <c r="I79" s="542"/>
      <c r="J79" s="542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>
        <f t="shared" si="4"/>
        <v>0</v>
      </c>
    </row>
    <row r="80" spans="1:26" ht="15" hidden="1" customHeight="1" x14ac:dyDescent="0.25">
      <c r="A80" s="530"/>
      <c r="B80" s="530"/>
      <c r="C80" s="530"/>
      <c r="D80" s="542"/>
      <c r="E80" s="535"/>
      <c r="F80" s="542"/>
      <c r="G80" s="535">
        <f t="shared" si="3"/>
        <v>0</v>
      </c>
      <c r="H80" s="542">
        <f t="shared" si="3"/>
        <v>0</v>
      </c>
      <c r="I80" s="542"/>
      <c r="J80" s="542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>
        <f t="shared" si="4"/>
        <v>0</v>
      </c>
    </row>
    <row r="81" spans="1:26" ht="15" hidden="1" customHeight="1" x14ac:dyDescent="0.25">
      <c r="A81" s="530"/>
      <c r="B81" s="530"/>
      <c r="C81" s="530"/>
      <c r="D81" s="542"/>
      <c r="E81" s="535"/>
      <c r="F81" s="542"/>
      <c r="G81" s="535">
        <f t="shared" si="3"/>
        <v>0</v>
      </c>
      <c r="H81" s="542">
        <f t="shared" si="3"/>
        <v>0</v>
      </c>
      <c r="I81" s="542"/>
      <c r="J81" s="542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35"/>
      <c r="X81" s="535"/>
      <c r="Y81" s="535"/>
      <c r="Z81" s="535">
        <f t="shared" si="4"/>
        <v>0</v>
      </c>
    </row>
    <row r="82" spans="1:26" ht="15" customHeight="1" x14ac:dyDescent="0.25">
      <c r="A82" s="535"/>
      <c r="B82" s="535"/>
      <c r="C82" s="535"/>
      <c r="D82" s="542"/>
      <c r="E82" s="535"/>
      <c r="F82" s="542"/>
      <c r="G82" s="535">
        <f t="shared" si="3"/>
        <v>0</v>
      </c>
      <c r="H82" s="542">
        <f t="shared" si="3"/>
        <v>0</v>
      </c>
      <c r="I82" s="542"/>
      <c r="J82" s="542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>
        <f t="shared" si="4"/>
        <v>0</v>
      </c>
    </row>
    <row r="83" spans="1:26" ht="15" customHeight="1" x14ac:dyDescent="0.25">
      <c r="A83" s="443" t="s">
        <v>1221</v>
      </c>
      <c r="B83" s="444"/>
      <c r="C83" s="447">
        <f t="shared" ref="C83:Z83" si="5">SUM(C5:C82)</f>
        <v>143</v>
      </c>
      <c r="D83" s="466">
        <f t="shared" si="5"/>
        <v>186563.59999999998</v>
      </c>
      <c r="E83" s="447">
        <f t="shared" si="5"/>
        <v>143</v>
      </c>
      <c r="F83" s="466">
        <f t="shared" si="5"/>
        <v>192565.5</v>
      </c>
      <c r="G83" s="447">
        <f t="shared" si="5"/>
        <v>0</v>
      </c>
      <c r="H83" s="466">
        <f t="shared" si="5"/>
        <v>6001.8999999999987</v>
      </c>
      <c r="I83" s="448">
        <f t="shared" si="5"/>
        <v>0</v>
      </c>
      <c r="J83" s="447">
        <f t="shared" si="5"/>
        <v>68180.72</v>
      </c>
      <c r="K83" s="448">
        <f t="shared" si="5"/>
        <v>0</v>
      </c>
      <c r="L83" s="447">
        <f t="shared" si="5"/>
        <v>0</v>
      </c>
      <c r="M83" s="447">
        <f t="shared" si="5"/>
        <v>0</v>
      </c>
      <c r="N83" s="447">
        <f t="shared" si="5"/>
        <v>0</v>
      </c>
      <c r="O83" s="447">
        <f t="shared" si="5"/>
        <v>0</v>
      </c>
      <c r="P83" s="447">
        <f t="shared" si="5"/>
        <v>0</v>
      </c>
      <c r="Q83" s="447">
        <f t="shared" si="5"/>
        <v>0</v>
      </c>
      <c r="R83" s="447">
        <f t="shared" si="5"/>
        <v>0</v>
      </c>
      <c r="S83" s="447">
        <f t="shared" si="5"/>
        <v>0</v>
      </c>
      <c r="T83" s="447">
        <f t="shared" si="5"/>
        <v>0</v>
      </c>
      <c r="U83" s="447">
        <f t="shared" si="5"/>
        <v>0</v>
      </c>
      <c r="V83" s="447">
        <f t="shared" si="5"/>
        <v>0</v>
      </c>
      <c r="W83" s="447">
        <f t="shared" si="5"/>
        <v>0</v>
      </c>
      <c r="X83" s="447">
        <f t="shared" si="5"/>
        <v>0</v>
      </c>
      <c r="Y83" s="447">
        <f t="shared" si="5"/>
        <v>0</v>
      </c>
      <c r="Z83" s="447">
        <f t="shared" si="5"/>
        <v>0</v>
      </c>
    </row>
    <row r="84" spans="1:26" ht="15" customHeight="1" x14ac:dyDescent="0.25">
      <c r="A84" s="583" t="s">
        <v>1813</v>
      </c>
      <c r="B84" s="584"/>
      <c r="C84" s="585"/>
      <c r="D84" s="586"/>
      <c r="E84" s="585"/>
      <c r="F84" s="586">
        <f>F83-31808</f>
        <v>160757.5</v>
      </c>
      <c r="G84" s="585"/>
      <c r="H84" s="586"/>
      <c r="I84" s="587"/>
      <c r="J84" s="585">
        <f>J83-11761</f>
        <v>56419.72</v>
      </c>
      <c r="K84" s="587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</row>
    <row r="86" spans="1:26" x14ac:dyDescent="0.25">
      <c r="A86" s="739" t="s">
        <v>1227</v>
      </c>
      <c r="B86" s="739"/>
    </row>
    <row r="87" spans="1:26" ht="30" x14ac:dyDescent="0.25">
      <c r="A87" s="547" t="s">
        <v>1</v>
      </c>
      <c r="B87" s="547"/>
      <c r="C87" s="548" t="s">
        <v>1222</v>
      </c>
      <c r="D87" s="548" t="s">
        <v>1223</v>
      </c>
      <c r="E87" s="548" t="s">
        <v>392</v>
      </c>
      <c r="F87" s="549" t="s">
        <v>2</v>
      </c>
      <c r="G87" s="550" t="s">
        <v>1225</v>
      </c>
      <c r="H87" s="551" t="s">
        <v>1224</v>
      </c>
      <c r="I87" s="551" t="s">
        <v>1498</v>
      </c>
      <c r="J87" s="551" t="s">
        <v>94</v>
      </c>
      <c r="K87" s="552" t="s">
        <v>681</v>
      </c>
      <c r="L87" s="552" t="s">
        <v>1496</v>
      </c>
      <c r="M87" s="552" t="s">
        <v>1497</v>
      </c>
      <c r="N87" s="552" t="s">
        <v>682</v>
      </c>
      <c r="O87" s="552" t="s">
        <v>683</v>
      </c>
      <c r="P87" s="552" t="s">
        <v>87</v>
      </c>
      <c r="Q87" s="552" t="s">
        <v>684</v>
      </c>
      <c r="R87" s="552" t="s">
        <v>685</v>
      </c>
      <c r="S87" s="552" t="s">
        <v>690</v>
      </c>
      <c r="T87" s="552" t="s">
        <v>686</v>
      </c>
      <c r="U87" s="552" t="s">
        <v>687</v>
      </c>
      <c r="V87" s="552" t="s">
        <v>688</v>
      </c>
      <c r="W87" s="552" t="s">
        <v>689</v>
      </c>
      <c r="X87" s="552" t="s">
        <v>138</v>
      </c>
      <c r="Y87" s="552" t="s">
        <v>1385</v>
      </c>
      <c r="Z87" s="552" t="s">
        <v>1238</v>
      </c>
    </row>
    <row r="88" spans="1:26" ht="15" customHeight="1" x14ac:dyDescent="0.25">
      <c r="A88" s="579" t="s">
        <v>1788</v>
      </c>
      <c r="B88" s="496" t="s">
        <v>61</v>
      </c>
      <c r="C88" s="497">
        <v>42887</v>
      </c>
      <c r="D88" s="498">
        <v>42900</v>
      </c>
      <c r="E88" s="499">
        <v>14</v>
      </c>
      <c r="F88" s="498">
        <v>42917</v>
      </c>
      <c r="G88" s="499">
        <v>2</v>
      </c>
      <c r="H88" s="554">
        <v>3386</v>
      </c>
      <c r="I88" s="554">
        <v>0</v>
      </c>
      <c r="J88" s="554">
        <v>1354</v>
      </c>
      <c r="K88" s="496"/>
      <c r="L88" s="496"/>
      <c r="M88" s="496"/>
      <c r="N88" s="496"/>
      <c r="O88" s="496"/>
      <c r="P88" s="496"/>
      <c r="Q88" s="496">
        <v>1</v>
      </c>
      <c r="R88" s="496"/>
      <c r="S88" s="496"/>
      <c r="T88" s="496"/>
      <c r="U88" s="496"/>
      <c r="V88" s="496">
        <v>1</v>
      </c>
      <c r="W88" s="496"/>
      <c r="X88" s="496"/>
      <c r="Y88" s="496"/>
      <c r="Z88" s="496">
        <f>SUM(K88:Y88)</f>
        <v>2</v>
      </c>
    </row>
    <row r="89" spans="1:26" ht="15" customHeight="1" x14ac:dyDescent="0.25">
      <c r="A89" s="578" t="s">
        <v>1792</v>
      </c>
      <c r="B89" s="535" t="s">
        <v>100</v>
      </c>
      <c r="C89" s="487">
        <v>42849</v>
      </c>
      <c r="D89" s="488">
        <v>42923</v>
      </c>
      <c r="E89" s="486">
        <v>77</v>
      </c>
      <c r="F89" s="488">
        <v>42909</v>
      </c>
      <c r="G89" s="486">
        <v>1</v>
      </c>
      <c r="H89" s="539">
        <v>1693</v>
      </c>
      <c r="I89" s="456">
        <v>5000</v>
      </c>
      <c r="J89" s="456">
        <v>677</v>
      </c>
      <c r="K89" s="535"/>
      <c r="L89" s="535"/>
      <c r="M89" s="535"/>
      <c r="N89" s="535"/>
      <c r="O89" s="535"/>
      <c r="P89" s="535">
        <v>1</v>
      </c>
      <c r="Q89" s="535"/>
      <c r="R89" s="535"/>
      <c r="S89" s="535"/>
      <c r="T89" s="535"/>
      <c r="U89" s="535"/>
      <c r="V89" s="535"/>
      <c r="W89" s="535"/>
      <c r="X89" s="535"/>
      <c r="Y89" s="535"/>
      <c r="Z89" s="496">
        <f>SUM(K89:Y89)</f>
        <v>1</v>
      </c>
    </row>
    <row r="90" spans="1:26" ht="15" customHeight="1" x14ac:dyDescent="0.25">
      <c r="A90" s="580" t="s">
        <v>1794</v>
      </c>
      <c r="B90" s="535" t="s">
        <v>115</v>
      </c>
      <c r="C90" s="487">
        <v>42823</v>
      </c>
      <c r="D90" s="488">
        <v>42923</v>
      </c>
      <c r="E90" s="486">
        <v>98</v>
      </c>
      <c r="F90" s="488">
        <v>42916</v>
      </c>
      <c r="G90" s="486">
        <v>1</v>
      </c>
      <c r="H90" s="539">
        <v>1693</v>
      </c>
      <c r="I90" s="456">
        <v>5000</v>
      </c>
      <c r="J90" s="456">
        <v>677</v>
      </c>
      <c r="K90" s="535"/>
      <c r="L90" s="535"/>
      <c r="M90" s="535"/>
      <c r="N90" s="535"/>
      <c r="O90" s="535"/>
      <c r="P90" s="535">
        <v>1</v>
      </c>
      <c r="Q90" s="535"/>
      <c r="R90" s="535"/>
      <c r="S90" s="535"/>
      <c r="T90" s="535"/>
      <c r="U90" s="535"/>
      <c r="V90" s="535"/>
      <c r="W90" s="535"/>
      <c r="X90" s="535"/>
      <c r="Y90" s="535"/>
      <c r="Z90" s="496">
        <f>SUM(K90:Y90)</f>
        <v>1</v>
      </c>
    </row>
    <row r="91" spans="1:26" x14ac:dyDescent="0.25">
      <c r="A91" s="580" t="s">
        <v>1805</v>
      </c>
      <c r="B91" s="535" t="s">
        <v>115</v>
      </c>
      <c r="C91" s="487">
        <v>42892</v>
      </c>
      <c r="D91" s="488">
        <v>42949</v>
      </c>
      <c r="E91" s="486">
        <v>56</v>
      </c>
      <c r="F91" s="488">
        <v>42929</v>
      </c>
      <c r="G91" s="486">
        <v>4</v>
      </c>
      <c r="H91" s="539">
        <v>6772</v>
      </c>
      <c r="I91" s="539">
        <v>5000</v>
      </c>
      <c r="J91" s="539">
        <v>2708</v>
      </c>
      <c r="K91" s="535">
        <v>1</v>
      </c>
      <c r="L91" s="535">
        <v>1</v>
      </c>
      <c r="M91" s="535"/>
      <c r="N91" s="535">
        <v>1</v>
      </c>
      <c r="O91" s="535"/>
      <c r="P91" s="535"/>
      <c r="Q91" s="535">
        <v>1</v>
      </c>
      <c r="R91" s="535"/>
      <c r="S91" s="535"/>
      <c r="T91" s="535"/>
      <c r="U91" s="535"/>
      <c r="V91" s="535"/>
      <c r="W91" s="535"/>
      <c r="X91" s="535"/>
      <c r="Y91" s="535"/>
      <c r="Z91" s="496">
        <f>SUM(K91:Y91)</f>
        <v>4</v>
      </c>
    </row>
    <row r="92" spans="1:26" ht="15" customHeight="1" x14ac:dyDescent="0.25">
      <c r="A92" s="538"/>
      <c r="B92" s="535"/>
      <c r="C92" s="487"/>
      <c r="D92" s="488"/>
      <c r="E92" s="486"/>
      <c r="F92" s="488"/>
      <c r="G92" s="486"/>
      <c r="H92" s="539"/>
      <c r="I92" s="539"/>
      <c r="J92" s="539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496">
        <f t="shared" ref="Z92:Z95" si="6">SUM(K92:Y92)</f>
        <v>0</v>
      </c>
    </row>
    <row r="93" spans="1:26" ht="15" customHeight="1" x14ac:dyDescent="0.25">
      <c r="A93" s="538"/>
      <c r="B93" s="535"/>
      <c r="C93" s="487"/>
      <c r="D93" s="488"/>
      <c r="E93" s="486"/>
      <c r="F93" s="488"/>
      <c r="G93" s="486"/>
      <c r="H93" s="539"/>
      <c r="I93" s="539"/>
      <c r="J93" s="539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496">
        <f t="shared" si="6"/>
        <v>0</v>
      </c>
    </row>
    <row r="94" spans="1:26" ht="15" customHeight="1" x14ac:dyDescent="0.25">
      <c r="A94" s="538"/>
      <c r="B94" s="535"/>
      <c r="C94" s="487"/>
      <c r="D94" s="488"/>
      <c r="E94" s="486"/>
      <c r="F94" s="488"/>
      <c r="G94" s="486"/>
      <c r="H94" s="539"/>
      <c r="I94" s="456"/>
      <c r="J94" s="456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496">
        <f t="shared" si="6"/>
        <v>0</v>
      </c>
    </row>
    <row r="95" spans="1:26" ht="15" customHeight="1" x14ac:dyDescent="0.25">
      <c r="A95" s="538"/>
      <c r="B95" s="535"/>
      <c r="C95" s="487"/>
      <c r="D95" s="488"/>
      <c r="E95" s="486"/>
      <c r="F95" s="488"/>
      <c r="G95" s="486"/>
      <c r="H95" s="539"/>
      <c r="I95" s="456"/>
      <c r="J95" s="456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496">
        <f t="shared" si="6"/>
        <v>0</v>
      </c>
    </row>
    <row r="96" spans="1:26" ht="15" customHeight="1" x14ac:dyDescent="0.25">
      <c r="A96" s="443" t="s">
        <v>1226</v>
      </c>
      <c r="B96" s="444"/>
      <c r="C96" s="445"/>
      <c r="D96" s="446"/>
      <c r="E96" s="447"/>
      <c r="F96" s="446"/>
      <c r="G96" s="447">
        <f>SUM(G94:G95)</f>
        <v>0</v>
      </c>
      <c r="H96" s="448">
        <f>SUM(H88:H95)</f>
        <v>13544</v>
      </c>
      <c r="I96" s="448">
        <f t="shared" ref="I96:J96" si="7">SUM(I88:I95)</f>
        <v>15000</v>
      </c>
      <c r="J96" s="448">
        <f t="shared" si="7"/>
        <v>5416</v>
      </c>
      <c r="K96" s="447">
        <f>SUM(K88:K95)</f>
        <v>1</v>
      </c>
      <c r="L96" s="447">
        <f t="shared" ref="L96:Z96" si="8">SUM(L88:L95)</f>
        <v>1</v>
      </c>
      <c r="M96" s="447">
        <f t="shared" si="8"/>
        <v>0</v>
      </c>
      <c r="N96" s="447">
        <f t="shared" si="8"/>
        <v>1</v>
      </c>
      <c r="O96" s="447">
        <f t="shared" si="8"/>
        <v>0</v>
      </c>
      <c r="P96" s="447">
        <f t="shared" si="8"/>
        <v>2</v>
      </c>
      <c r="Q96" s="447">
        <f t="shared" si="8"/>
        <v>2</v>
      </c>
      <c r="R96" s="447">
        <f t="shared" si="8"/>
        <v>0</v>
      </c>
      <c r="S96" s="447">
        <f t="shared" si="8"/>
        <v>0</v>
      </c>
      <c r="T96" s="447">
        <f t="shared" si="8"/>
        <v>0</v>
      </c>
      <c r="U96" s="447">
        <f t="shared" si="8"/>
        <v>0</v>
      </c>
      <c r="V96" s="447">
        <f t="shared" si="8"/>
        <v>1</v>
      </c>
      <c r="W96" s="447">
        <f t="shared" si="8"/>
        <v>0</v>
      </c>
      <c r="X96" s="447">
        <f t="shared" si="8"/>
        <v>0</v>
      </c>
      <c r="Y96" s="447">
        <f t="shared" si="8"/>
        <v>0</v>
      </c>
      <c r="Z96" s="447">
        <f t="shared" si="8"/>
        <v>8</v>
      </c>
    </row>
    <row r="97" spans="1:26" ht="15" customHeight="1" x14ac:dyDescent="0.25">
      <c r="A97" s="428"/>
      <c r="B97" s="422"/>
      <c r="C97" s="422"/>
      <c r="D97" s="429"/>
      <c r="E97" s="422"/>
      <c r="F97" s="429"/>
      <c r="G97" s="433"/>
      <c r="H97" s="422"/>
      <c r="I97" s="422"/>
      <c r="J97" s="422"/>
    </row>
    <row r="98" spans="1:26" x14ac:dyDescent="0.25">
      <c r="A98" s="739" t="s">
        <v>1228</v>
      </c>
      <c r="B98" s="739"/>
      <c r="G98" s="420"/>
    </row>
    <row r="99" spans="1:26" ht="30" x14ac:dyDescent="0.25">
      <c r="A99" s="570" t="s">
        <v>1</v>
      </c>
      <c r="B99" s="570" t="s">
        <v>59</v>
      </c>
      <c r="C99" s="425" t="s">
        <v>1222</v>
      </c>
      <c r="D99" s="425" t="s">
        <v>1223</v>
      </c>
      <c r="E99" s="425" t="s">
        <v>392</v>
      </c>
      <c r="F99" s="426" t="s">
        <v>2</v>
      </c>
      <c r="G99" s="432" t="s">
        <v>1225</v>
      </c>
      <c r="H99" s="427" t="s">
        <v>1224</v>
      </c>
      <c r="I99" s="427" t="s">
        <v>1498</v>
      </c>
      <c r="J99" s="427" t="s">
        <v>94</v>
      </c>
      <c r="K99" s="424" t="s">
        <v>681</v>
      </c>
      <c r="L99" s="424" t="s">
        <v>1496</v>
      </c>
      <c r="M99" s="424" t="s">
        <v>1497</v>
      </c>
      <c r="N99" s="424" t="s">
        <v>682</v>
      </c>
      <c r="O99" s="424" t="s">
        <v>683</v>
      </c>
      <c r="P99" s="424" t="s">
        <v>87</v>
      </c>
      <c r="Q99" s="424" t="s">
        <v>684</v>
      </c>
      <c r="R99" s="424" t="s">
        <v>685</v>
      </c>
      <c r="S99" s="424" t="s">
        <v>690</v>
      </c>
      <c r="T99" s="424" t="s">
        <v>686</v>
      </c>
      <c r="U99" s="424" t="s">
        <v>687</v>
      </c>
      <c r="V99" s="424" t="s">
        <v>688</v>
      </c>
      <c r="W99" s="424" t="s">
        <v>689</v>
      </c>
      <c r="X99" s="424" t="s">
        <v>138</v>
      </c>
      <c r="Y99" s="424" t="s">
        <v>1385</v>
      </c>
      <c r="Z99" s="424" t="s">
        <v>1238</v>
      </c>
    </row>
    <row r="100" spans="1:26" ht="15" customHeight="1" x14ac:dyDescent="0.25">
      <c r="A100" s="580" t="s">
        <v>1607</v>
      </c>
      <c r="B100" s="535" t="s">
        <v>115</v>
      </c>
      <c r="C100" s="487">
        <v>42851</v>
      </c>
      <c r="D100" s="488">
        <v>42891</v>
      </c>
      <c r="E100" s="486">
        <v>39</v>
      </c>
      <c r="F100" s="488">
        <v>42917</v>
      </c>
      <c r="G100" s="486">
        <v>1</v>
      </c>
      <c r="H100" s="539">
        <v>1643</v>
      </c>
      <c r="I100" s="539">
        <v>0</v>
      </c>
      <c r="J100" s="539">
        <v>657</v>
      </c>
      <c r="K100" s="535"/>
      <c r="L100" s="535"/>
      <c r="M100" s="535"/>
      <c r="N100" s="535"/>
      <c r="O100" s="535"/>
      <c r="P100" s="535"/>
      <c r="Q100" s="535">
        <v>1</v>
      </c>
      <c r="R100" s="535"/>
      <c r="S100" s="535"/>
      <c r="T100" s="535"/>
      <c r="U100" s="535"/>
      <c r="V100" s="535"/>
      <c r="W100" s="535"/>
      <c r="X100" s="535"/>
      <c r="Y100" s="535"/>
      <c r="Z100" s="535">
        <f>SUM(K100:Y100)</f>
        <v>1</v>
      </c>
    </row>
    <row r="101" spans="1:26" s="457" customFormat="1" ht="15" customHeight="1" x14ac:dyDescent="0.25">
      <c r="A101" s="580" t="s">
        <v>1656</v>
      </c>
      <c r="B101" s="535" t="s">
        <v>115</v>
      </c>
      <c r="C101" s="487">
        <v>42885</v>
      </c>
      <c r="D101" s="488">
        <v>42892</v>
      </c>
      <c r="E101" s="486">
        <v>6</v>
      </c>
      <c r="F101" s="488">
        <v>42917</v>
      </c>
      <c r="G101" s="486">
        <v>1</v>
      </c>
      <c r="H101" s="539">
        <v>1643</v>
      </c>
      <c r="I101" s="539">
        <v>0</v>
      </c>
      <c r="J101" s="539">
        <v>657</v>
      </c>
      <c r="K101" s="535"/>
      <c r="L101" s="535"/>
      <c r="M101" s="535"/>
      <c r="N101" s="535"/>
      <c r="O101" s="535"/>
      <c r="P101" s="535">
        <v>1</v>
      </c>
      <c r="Q101" s="535"/>
      <c r="R101" s="535"/>
      <c r="S101" s="535"/>
      <c r="T101" s="535"/>
      <c r="U101" s="535"/>
      <c r="V101" s="535"/>
      <c r="W101" s="535"/>
      <c r="X101" s="535"/>
      <c r="Y101" s="452"/>
      <c r="Z101" s="535">
        <f t="shared" ref="Z101" si="9">SUM(K101:Y101)</f>
        <v>1</v>
      </c>
    </row>
    <row r="102" spans="1:26" s="457" customFormat="1" ht="15" customHeight="1" x14ac:dyDescent="0.25">
      <c r="A102" s="580" t="s">
        <v>1791</v>
      </c>
      <c r="B102" s="535" t="s">
        <v>115</v>
      </c>
      <c r="C102" s="487">
        <v>42913</v>
      </c>
      <c r="D102" s="488">
        <v>42915</v>
      </c>
      <c r="E102" s="486">
        <v>2</v>
      </c>
      <c r="F102" s="488">
        <v>42917</v>
      </c>
      <c r="G102" s="486">
        <v>1</v>
      </c>
      <c r="H102" s="539">
        <v>1693</v>
      </c>
      <c r="I102" s="539">
        <v>0</v>
      </c>
      <c r="J102" s="539">
        <v>677</v>
      </c>
      <c r="K102" s="535"/>
      <c r="L102" s="535"/>
      <c r="M102" s="535"/>
      <c r="N102" s="535"/>
      <c r="O102" s="535"/>
      <c r="P102" s="535">
        <v>1</v>
      </c>
      <c r="Q102" s="535"/>
      <c r="R102" s="535"/>
      <c r="S102" s="535"/>
      <c r="T102" s="535"/>
      <c r="U102" s="535"/>
      <c r="V102" s="535"/>
      <c r="W102" s="535"/>
      <c r="X102" s="535"/>
      <c r="Y102" s="452"/>
      <c r="Z102" s="535"/>
    </row>
    <row r="103" spans="1:26" s="457" customFormat="1" ht="15" customHeight="1" x14ac:dyDescent="0.25">
      <c r="A103" s="580" t="s">
        <v>1798</v>
      </c>
      <c r="B103" s="535" t="s">
        <v>115</v>
      </c>
      <c r="C103" s="487">
        <v>42815</v>
      </c>
      <c r="D103" s="488">
        <v>42934</v>
      </c>
      <c r="E103" s="486">
        <v>123</v>
      </c>
      <c r="F103" s="488">
        <v>42887</v>
      </c>
      <c r="G103" s="486">
        <v>3</v>
      </c>
      <c r="H103" s="539">
        <v>5079</v>
      </c>
      <c r="I103" s="539">
        <v>0</v>
      </c>
      <c r="J103" s="539">
        <v>2031</v>
      </c>
      <c r="K103" s="535"/>
      <c r="L103" s="535">
        <v>1</v>
      </c>
      <c r="M103" s="535">
        <v>1</v>
      </c>
      <c r="N103" s="535"/>
      <c r="O103" s="535"/>
      <c r="P103" s="535"/>
      <c r="Q103" s="535">
        <v>1</v>
      </c>
      <c r="R103" s="535"/>
      <c r="S103" s="535"/>
      <c r="T103" s="535"/>
      <c r="U103" s="535"/>
      <c r="V103" s="535"/>
      <c r="W103" s="535"/>
      <c r="X103" s="535"/>
      <c r="Y103" s="452"/>
      <c r="Z103" s="535"/>
    </row>
    <row r="104" spans="1:26" s="457" customFormat="1" ht="15" customHeight="1" x14ac:dyDescent="0.25">
      <c r="A104" s="580" t="s">
        <v>1799</v>
      </c>
      <c r="B104" s="535" t="s">
        <v>115</v>
      </c>
      <c r="C104" s="487">
        <v>42909</v>
      </c>
      <c r="D104" s="488">
        <v>42935</v>
      </c>
      <c r="E104" s="486">
        <v>27</v>
      </c>
      <c r="F104" s="488">
        <v>42934</v>
      </c>
      <c r="G104" s="486">
        <v>4</v>
      </c>
      <c r="H104" s="539">
        <v>8715</v>
      </c>
      <c r="I104" s="539">
        <v>0</v>
      </c>
      <c r="J104" s="539">
        <v>0</v>
      </c>
      <c r="K104" s="535"/>
      <c r="L104" s="535"/>
      <c r="M104" s="535"/>
      <c r="N104" s="535"/>
      <c r="O104" s="535"/>
      <c r="P104" s="535"/>
      <c r="Q104" s="535"/>
      <c r="R104" s="535">
        <v>1</v>
      </c>
      <c r="S104" s="535">
        <v>1</v>
      </c>
      <c r="T104" s="535">
        <v>1</v>
      </c>
      <c r="U104" s="535">
        <v>1</v>
      </c>
      <c r="V104" s="535"/>
      <c r="W104" s="535"/>
      <c r="X104" s="535"/>
      <c r="Y104" s="452"/>
      <c r="Z104" s="535"/>
    </row>
    <row r="105" spans="1:26" s="457" customFormat="1" ht="15" customHeight="1" x14ac:dyDescent="0.25">
      <c r="A105" s="580" t="s">
        <v>1800</v>
      </c>
      <c r="B105" s="535" t="s">
        <v>115</v>
      </c>
      <c r="C105" s="487">
        <v>42909</v>
      </c>
      <c r="D105" s="488">
        <v>42935</v>
      </c>
      <c r="E105" s="486">
        <v>27</v>
      </c>
      <c r="F105" s="488">
        <v>42934</v>
      </c>
      <c r="G105" s="486">
        <v>1</v>
      </c>
      <c r="H105" s="539">
        <v>1447</v>
      </c>
      <c r="I105" s="539">
        <v>0</v>
      </c>
      <c r="J105" s="539">
        <v>579</v>
      </c>
      <c r="K105" s="535"/>
      <c r="L105" s="535"/>
      <c r="M105" s="535"/>
      <c r="N105" s="535"/>
      <c r="O105" s="535"/>
      <c r="P105" s="535"/>
      <c r="Q105" s="535"/>
      <c r="R105" s="535"/>
      <c r="S105" s="535"/>
      <c r="T105" s="535">
        <v>1</v>
      </c>
      <c r="U105" s="535"/>
      <c r="V105" s="535"/>
      <c r="W105" s="535"/>
      <c r="X105" s="535"/>
      <c r="Y105" s="452"/>
      <c r="Z105" s="535"/>
    </row>
    <row r="106" spans="1:26" s="457" customFormat="1" ht="15" customHeight="1" x14ac:dyDescent="0.25">
      <c r="A106" s="580" t="s">
        <v>1801</v>
      </c>
      <c r="B106" s="452" t="s">
        <v>115</v>
      </c>
      <c r="C106" s="453">
        <v>42909</v>
      </c>
      <c r="D106" s="454">
        <v>42935</v>
      </c>
      <c r="E106" s="455">
        <v>27</v>
      </c>
      <c r="F106" s="454">
        <v>42934</v>
      </c>
      <c r="G106" s="455">
        <v>3</v>
      </c>
      <c r="H106" s="456">
        <v>4908</v>
      </c>
      <c r="I106" s="456">
        <v>0</v>
      </c>
      <c r="J106" s="456">
        <v>1557</v>
      </c>
      <c r="K106" s="452"/>
      <c r="L106" s="452"/>
      <c r="M106" s="452"/>
      <c r="N106" s="452"/>
      <c r="O106" s="452"/>
      <c r="P106" s="452"/>
      <c r="Q106" s="452"/>
      <c r="R106" s="452"/>
      <c r="S106" s="452">
        <v>1</v>
      </c>
      <c r="T106" s="452">
        <v>1</v>
      </c>
      <c r="U106" s="452">
        <v>1</v>
      </c>
      <c r="V106" s="452"/>
      <c r="W106" s="452"/>
      <c r="X106" s="452"/>
      <c r="Y106" s="452"/>
      <c r="Z106" s="535"/>
    </row>
    <row r="107" spans="1:26" s="457" customFormat="1" ht="15" customHeight="1" x14ac:dyDescent="0.25">
      <c r="A107" s="580" t="s">
        <v>1802</v>
      </c>
      <c r="B107" s="452" t="s">
        <v>61</v>
      </c>
      <c r="C107" s="453">
        <v>42940</v>
      </c>
      <c r="D107" s="454">
        <v>42941</v>
      </c>
      <c r="E107" s="455">
        <v>1</v>
      </c>
      <c r="F107" s="454">
        <v>42917</v>
      </c>
      <c r="G107" s="455">
        <v>1</v>
      </c>
      <c r="H107" s="456">
        <v>1447</v>
      </c>
      <c r="I107" s="456">
        <v>0</v>
      </c>
      <c r="J107" s="456">
        <v>579</v>
      </c>
      <c r="K107" s="452"/>
      <c r="L107" s="452"/>
      <c r="M107" s="452"/>
      <c r="N107" s="452"/>
      <c r="O107" s="452"/>
      <c r="P107" s="452"/>
      <c r="Q107" s="452"/>
      <c r="R107" s="452"/>
      <c r="S107" s="452"/>
      <c r="T107" s="452">
        <v>1</v>
      </c>
      <c r="U107" s="452"/>
      <c r="V107" s="452"/>
      <c r="W107" s="452"/>
      <c r="X107" s="452"/>
      <c r="Y107" s="452"/>
      <c r="Z107" s="535"/>
    </row>
    <row r="108" spans="1:26" ht="15" customHeight="1" x14ac:dyDescent="0.25">
      <c r="A108" s="443" t="s">
        <v>450</v>
      </c>
      <c r="B108" s="444"/>
      <c r="C108" s="445"/>
      <c r="D108" s="446"/>
      <c r="E108" s="447"/>
      <c r="F108" s="446"/>
      <c r="G108" s="447">
        <f t="shared" ref="G108:Z108" si="10">SUM(G100:G107)</f>
        <v>15</v>
      </c>
      <c r="H108" s="448">
        <f>SUM(H100:H107)</f>
        <v>26575</v>
      </c>
      <c r="I108" s="448">
        <f>SUM(I100:I107)</f>
        <v>0</v>
      </c>
      <c r="J108" s="448">
        <f>SUM(J100:J107)</f>
        <v>6737</v>
      </c>
      <c r="K108" s="447">
        <f t="shared" si="10"/>
        <v>0</v>
      </c>
      <c r="L108" s="447">
        <f t="shared" si="10"/>
        <v>1</v>
      </c>
      <c r="M108" s="447">
        <f t="shared" si="10"/>
        <v>1</v>
      </c>
      <c r="N108" s="447">
        <f t="shared" si="10"/>
        <v>0</v>
      </c>
      <c r="O108" s="447">
        <f t="shared" si="10"/>
        <v>0</v>
      </c>
      <c r="P108" s="447">
        <f t="shared" si="10"/>
        <v>2</v>
      </c>
      <c r="Q108" s="447">
        <f t="shared" si="10"/>
        <v>2</v>
      </c>
      <c r="R108" s="447">
        <f t="shared" si="10"/>
        <v>1</v>
      </c>
      <c r="S108" s="447">
        <f t="shared" si="10"/>
        <v>2</v>
      </c>
      <c r="T108" s="447">
        <f t="shared" si="10"/>
        <v>4</v>
      </c>
      <c r="U108" s="447">
        <f t="shared" si="10"/>
        <v>2</v>
      </c>
      <c r="V108" s="447">
        <f t="shared" si="10"/>
        <v>0</v>
      </c>
      <c r="W108" s="447">
        <f t="shared" si="10"/>
        <v>0</v>
      </c>
      <c r="X108" s="447"/>
      <c r="Y108" s="447"/>
      <c r="Z108" s="447">
        <f t="shared" si="10"/>
        <v>2</v>
      </c>
    </row>
    <row r="110" spans="1:26" x14ac:dyDescent="0.25">
      <c r="A110" s="739" t="s">
        <v>1229</v>
      </c>
      <c r="B110" s="739"/>
    </row>
    <row r="111" spans="1:26" ht="30" x14ac:dyDescent="0.25">
      <c r="A111" s="570" t="s">
        <v>1</v>
      </c>
      <c r="B111" s="570" t="s">
        <v>59</v>
      </c>
      <c r="C111" s="425"/>
      <c r="D111" s="425"/>
      <c r="E111" s="425"/>
      <c r="F111" s="426"/>
      <c r="G111" s="432" t="s">
        <v>1225</v>
      </c>
      <c r="H111" s="427" t="s">
        <v>1224</v>
      </c>
      <c r="I111" s="427" t="s">
        <v>1498</v>
      </c>
      <c r="J111" s="427" t="s">
        <v>94</v>
      </c>
      <c r="K111" s="424" t="s">
        <v>681</v>
      </c>
      <c r="L111" s="424" t="s">
        <v>1496</v>
      </c>
      <c r="M111" s="424" t="s">
        <v>1497</v>
      </c>
      <c r="N111" s="424" t="s">
        <v>682</v>
      </c>
      <c r="O111" s="424" t="s">
        <v>683</v>
      </c>
      <c r="P111" s="424" t="s">
        <v>87</v>
      </c>
      <c r="Q111" s="424" t="s">
        <v>684</v>
      </c>
      <c r="R111" s="424" t="s">
        <v>685</v>
      </c>
      <c r="S111" s="424" t="s">
        <v>690</v>
      </c>
      <c r="T111" s="424" t="s">
        <v>686</v>
      </c>
      <c r="U111" s="424" t="s">
        <v>687</v>
      </c>
      <c r="V111" s="424" t="s">
        <v>688</v>
      </c>
      <c r="W111" s="424" t="s">
        <v>689</v>
      </c>
      <c r="X111" s="424" t="s">
        <v>138</v>
      </c>
      <c r="Y111" s="424" t="s">
        <v>1385</v>
      </c>
      <c r="Z111" s="424" t="s">
        <v>1238</v>
      </c>
    </row>
    <row r="112" spans="1:26" s="457" customFormat="1" ht="15" customHeight="1" x14ac:dyDescent="0.25">
      <c r="A112" s="580" t="s">
        <v>1802</v>
      </c>
      <c r="B112" s="535" t="s">
        <v>61</v>
      </c>
      <c r="C112" s="487">
        <v>42940</v>
      </c>
      <c r="D112" s="488">
        <v>42941</v>
      </c>
      <c r="E112" s="486">
        <v>1</v>
      </c>
      <c r="F112" s="488">
        <v>42917</v>
      </c>
      <c r="G112" s="486">
        <v>1</v>
      </c>
      <c r="H112" s="539">
        <v>-1447</v>
      </c>
      <c r="I112" s="539">
        <v>0</v>
      </c>
      <c r="J112" s="539">
        <v>-579</v>
      </c>
      <c r="K112" s="535"/>
      <c r="L112" s="535"/>
      <c r="M112" s="535"/>
      <c r="N112" s="535"/>
      <c r="O112" s="535"/>
      <c r="P112" s="535"/>
      <c r="Q112" s="535">
        <v>-1</v>
      </c>
      <c r="R112" s="535"/>
      <c r="S112" s="535"/>
      <c r="T112" s="535"/>
      <c r="U112" s="535"/>
      <c r="V112" s="535"/>
      <c r="W112" s="535"/>
      <c r="X112" s="535"/>
      <c r="Y112" s="535"/>
      <c r="Z112" s="535">
        <f t="shared" ref="Z112:Z119" si="11">SUM(K112:Y112)</f>
        <v>-1</v>
      </c>
    </row>
    <row r="113" spans="1:26" ht="15" customHeight="1" x14ac:dyDescent="0.25">
      <c r="A113" s="580" t="s">
        <v>1800</v>
      </c>
      <c r="B113" s="535" t="s">
        <v>115</v>
      </c>
      <c r="C113" s="487">
        <v>42909</v>
      </c>
      <c r="D113" s="488">
        <v>42935</v>
      </c>
      <c r="E113" s="486">
        <v>27</v>
      </c>
      <c r="F113" s="488">
        <v>42934</v>
      </c>
      <c r="G113" s="486">
        <v>4</v>
      </c>
      <c r="H113" s="539">
        <f>-1329</f>
        <v>-1329</v>
      </c>
      <c r="I113" s="539">
        <v>0</v>
      </c>
      <c r="J113" s="539">
        <f>H113*0.4</f>
        <v>-531.6</v>
      </c>
      <c r="K113" s="535"/>
      <c r="L113" s="535">
        <v>-1</v>
      </c>
      <c r="M113" s="535">
        <v>-1</v>
      </c>
      <c r="N113" s="535">
        <v>-1</v>
      </c>
      <c r="O113" s="535">
        <v>-1</v>
      </c>
      <c r="P113" s="535"/>
      <c r="Q113" s="535"/>
      <c r="R113" s="535"/>
      <c r="S113" s="535"/>
      <c r="T113" s="535"/>
      <c r="U113" s="535"/>
      <c r="V113" s="535"/>
      <c r="W113" s="535"/>
      <c r="X113" s="535"/>
      <c r="Y113" s="535"/>
      <c r="Z113" s="535">
        <f t="shared" si="11"/>
        <v>-4</v>
      </c>
    </row>
    <row r="114" spans="1:26" ht="15" customHeight="1" x14ac:dyDescent="0.25">
      <c r="A114" s="580" t="s">
        <v>1807</v>
      </c>
      <c r="B114" s="535" t="s">
        <v>115</v>
      </c>
      <c r="C114" s="487">
        <v>42915</v>
      </c>
      <c r="D114" s="488">
        <v>42950</v>
      </c>
      <c r="E114" s="486">
        <v>34</v>
      </c>
      <c r="F114" s="488">
        <v>42916</v>
      </c>
      <c r="G114" s="486">
        <v>6</v>
      </c>
      <c r="H114" s="582">
        <f>-6573+4162</f>
        <v>-2411</v>
      </c>
      <c r="I114" s="539">
        <v>0</v>
      </c>
      <c r="J114" s="539">
        <f>-2629+1665</f>
        <v>-964</v>
      </c>
      <c r="K114" s="535"/>
      <c r="L114" s="535"/>
      <c r="M114" s="535"/>
      <c r="N114" s="535">
        <v>-1</v>
      </c>
      <c r="O114" s="535">
        <v>-1</v>
      </c>
      <c r="P114" s="535"/>
      <c r="Q114" s="535"/>
      <c r="R114" s="535">
        <v>-1</v>
      </c>
      <c r="S114" s="535">
        <v>-1</v>
      </c>
      <c r="T114" s="535"/>
      <c r="U114" s="535">
        <v>-1</v>
      </c>
      <c r="V114" s="535"/>
      <c r="W114" s="535"/>
      <c r="X114" s="535"/>
      <c r="Y114" s="535"/>
      <c r="Z114" s="535">
        <f t="shared" si="11"/>
        <v>-5</v>
      </c>
    </row>
    <row r="115" spans="1:26" s="457" customFormat="1" ht="15" customHeight="1" x14ac:dyDescent="0.25">
      <c r="A115" s="580" t="s">
        <v>1808</v>
      </c>
      <c r="B115" s="535" t="s">
        <v>115</v>
      </c>
      <c r="C115" s="487">
        <v>42915</v>
      </c>
      <c r="D115" s="488">
        <v>42950</v>
      </c>
      <c r="E115" s="486">
        <v>34</v>
      </c>
      <c r="F115" s="488">
        <v>42916</v>
      </c>
      <c r="G115" s="486">
        <v>3</v>
      </c>
      <c r="H115" s="581">
        <v>-1156</v>
      </c>
      <c r="I115" s="539">
        <v>0</v>
      </c>
      <c r="J115" s="539">
        <v>-462</v>
      </c>
      <c r="K115" s="535"/>
      <c r="L115" s="535"/>
      <c r="M115" s="535"/>
      <c r="N115" s="535"/>
      <c r="O115" s="535"/>
      <c r="P115" s="535"/>
      <c r="Q115" s="535">
        <v>-1</v>
      </c>
      <c r="R115" s="535"/>
      <c r="S115" s="535"/>
      <c r="T115" s="535">
        <v>-1</v>
      </c>
      <c r="U115" s="535">
        <v>-1</v>
      </c>
      <c r="V115" s="535"/>
      <c r="W115" s="535"/>
      <c r="X115" s="535"/>
      <c r="Y115" s="535"/>
      <c r="Z115" s="535">
        <f t="shared" si="11"/>
        <v>-3</v>
      </c>
    </row>
    <row r="116" spans="1:26" ht="15" customHeight="1" x14ac:dyDescent="0.25">
      <c r="A116" s="580" t="s">
        <v>1810</v>
      </c>
      <c r="B116" s="535" t="s">
        <v>115</v>
      </c>
      <c r="C116" s="487">
        <v>42915</v>
      </c>
      <c r="D116" s="488">
        <v>42950</v>
      </c>
      <c r="E116" s="486">
        <v>34</v>
      </c>
      <c r="F116" s="488">
        <v>42916</v>
      </c>
      <c r="G116" s="486">
        <v>2</v>
      </c>
      <c r="H116" s="581">
        <f>-2030+1230</f>
        <v>-800</v>
      </c>
      <c r="I116" s="539">
        <v>0</v>
      </c>
      <c r="J116" s="539">
        <f>-812+492</f>
        <v>-320</v>
      </c>
      <c r="K116" s="535"/>
      <c r="L116" s="535"/>
      <c r="M116" s="535"/>
      <c r="N116" s="535"/>
      <c r="O116" s="535"/>
      <c r="P116" s="535"/>
      <c r="Q116" s="535"/>
      <c r="R116" s="535"/>
      <c r="S116" s="535"/>
      <c r="T116" s="535">
        <v>-1</v>
      </c>
      <c r="U116" s="535">
        <v>-1</v>
      </c>
      <c r="V116" s="535"/>
      <c r="W116" s="535"/>
      <c r="X116" s="535"/>
      <c r="Y116" s="535"/>
      <c r="Z116" s="535">
        <f t="shared" si="11"/>
        <v>-2</v>
      </c>
    </row>
    <row r="117" spans="1:26" ht="15" customHeight="1" x14ac:dyDescent="0.25">
      <c r="A117" s="580" t="s">
        <v>1809</v>
      </c>
      <c r="B117" s="535" t="s">
        <v>115</v>
      </c>
      <c r="C117" s="487">
        <v>42915</v>
      </c>
      <c r="D117" s="488">
        <v>42950</v>
      </c>
      <c r="E117" s="486">
        <v>34</v>
      </c>
      <c r="F117" s="488">
        <v>42916</v>
      </c>
      <c r="G117" s="486">
        <v>6</v>
      </c>
      <c r="H117" s="581">
        <f>-9284+6811</f>
        <v>-2473</v>
      </c>
      <c r="I117" s="539">
        <v>0</v>
      </c>
      <c r="J117" s="539">
        <f>-3480+2724</f>
        <v>-756</v>
      </c>
      <c r="K117" s="535"/>
      <c r="L117" s="535"/>
      <c r="M117" s="535"/>
      <c r="N117" s="535">
        <v>-1</v>
      </c>
      <c r="O117" s="535">
        <v>-1</v>
      </c>
      <c r="P117" s="535"/>
      <c r="Q117" s="535"/>
      <c r="R117" s="535">
        <v>-1</v>
      </c>
      <c r="S117" s="535">
        <v>-1</v>
      </c>
      <c r="T117" s="535">
        <v>-1</v>
      </c>
      <c r="U117" s="535">
        <v>-1</v>
      </c>
      <c r="V117" s="535"/>
      <c r="W117" s="535"/>
      <c r="X117" s="535"/>
      <c r="Y117" s="535"/>
      <c r="Z117" s="535">
        <f t="shared" si="11"/>
        <v>-6</v>
      </c>
    </row>
    <row r="118" spans="1:26" s="457" customFormat="1" ht="15" customHeight="1" x14ac:dyDescent="0.25">
      <c r="A118" s="580" t="s">
        <v>1811</v>
      </c>
      <c r="B118" s="535" t="s">
        <v>115</v>
      </c>
      <c r="C118" s="487">
        <v>42915</v>
      </c>
      <c r="D118" s="488">
        <v>42950</v>
      </c>
      <c r="E118" s="486">
        <v>34</v>
      </c>
      <c r="F118" s="488">
        <v>42916</v>
      </c>
      <c r="G118" s="486">
        <v>3</v>
      </c>
      <c r="H118" s="582">
        <f>-4059+2836</f>
        <v>-1223</v>
      </c>
      <c r="I118" s="539">
        <v>0</v>
      </c>
      <c r="J118" s="539">
        <f>-1623+1134</f>
        <v>-489</v>
      </c>
      <c r="K118" s="535"/>
      <c r="L118" s="535"/>
      <c r="M118" s="535"/>
      <c r="N118" s="535">
        <v>-1</v>
      </c>
      <c r="O118" s="535"/>
      <c r="P118" s="535">
        <v>-1</v>
      </c>
      <c r="Q118" s="535"/>
      <c r="R118" s="535"/>
      <c r="S118" s="535"/>
      <c r="T118" s="535"/>
      <c r="U118" s="535">
        <v>-1</v>
      </c>
      <c r="V118" s="535"/>
      <c r="W118" s="535"/>
      <c r="X118" s="535"/>
      <c r="Y118" s="535"/>
      <c r="Z118" s="535">
        <f t="shared" si="11"/>
        <v>-3</v>
      </c>
    </row>
    <row r="119" spans="1:26" ht="15" customHeight="1" x14ac:dyDescent="0.25">
      <c r="A119" s="580" t="s">
        <v>1812</v>
      </c>
      <c r="B119" s="535" t="s">
        <v>115</v>
      </c>
      <c r="C119" s="487">
        <v>42915</v>
      </c>
      <c r="D119" s="488">
        <v>42950</v>
      </c>
      <c r="E119" s="486">
        <v>34</v>
      </c>
      <c r="F119" s="488">
        <v>42916</v>
      </c>
      <c r="G119" s="486">
        <v>6</v>
      </c>
      <c r="H119" s="582">
        <f>-11221+8704</f>
        <v>-2517</v>
      </c>
      <c r="I119" s="539">
        <v>0</v>
      </c>
      <c r="J119" s="539">
        <f>-3480+3400</f>
        <v>-80</v>
      </c>
      <c r="K119" s="535"/>
      <c r="L119" s="535"/>
      <c r="M119" s="535"/>
      <c r="N119" s="535">
        <v>-1</v>
      </c>
      <c r="O119" s="535">
        <v>-1</v>
      </c>
      <c r="P119" s="535"/>
      <c r="Q119" s="535"/>
      <c r="R119" s="535">
        <v>-1</v>
      </c>
      <c r="S119" s="535">
        <v>-1</v>
      </c>
      <c r="T119" s="535">
        <v>-1</v>
      </c>
      <c r="U119" s="535">
        <v>-1</v>
      </c>
      <c r="V119" s="535"/>
      <c r="W119" s="535"/>
      <c r="X119" s="535"/>
      <c r="Y119" s="535"/>
      <c r="Z119" s="535">
        <f t="shared" si="11"/>
        <v>-6</v>
      </c>
    </row>
    <row r="120" spans="1:26" ht="15" customHeight="1" x14ac:dyDescent="0.25">
      <c r="A120" s="538"/>
      <c r="B120" s="535"/>
      <c r="C120" s="487"/>
      <c r="D120" s="488"/>
      <c r="E120" s="486"/>
      <c r="F120" s="488"/>
      <c r="G120" s="486"/>
      <c r="H120" s="539"/>
      <c r="I120" s="539"/>
      <c r="J120" s="539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>
        <f t="shared" ref="Z120" si="12">SUM(K120:Y120)</f>
        <v>0</v>
      </c>
    </row>
    <row r="121" spans="1:26" ht="15" customHeight="1" x14ac:dyDescent="0.25">
      <c r="A121" s="443" t="s">
        <v>1230</v>
      </c>
      <c r="B121" s="444"/>
      <c r="C121" s="445"/>
      <c r="D121" s="446"/>
      <c r="E121" s="447"/>
      <c r="F121" s="446"/>
      <c r="G121" s="447">
        <f>SUM(G112:G120)</f>
        <v>31</v>
      </c>
      <c r="H121" s="448">
        <f>SUM(H112:H120)</f>
        <v>-13356</v>
      </c>
      <c r="I121" s="448">
        <f t="shared" ref="I121:J121" si="13">SUM(I112:I120)</f>
        <v>0</v>
      </c>
      <c r="J121" s="448">
        <f t="shared" si="13"/>
        <v>-4181.6000000000004</v>
      </c>
      <c r="K121" s="447">
        <f>SUM(K112:K120)</f>
        <v>0</v>
      </c>
      <c r="L121" s="447">
        <f t="shared" ref="L121:Z121" si="14">SUM(L112:L120)</f>
        <v>-1</v>
      </c>
      <c r="M121" s="447">
        <f t="shared" si="14"/>
        <v>-1</v>
      </c>
      <c r="N121" s="447">
        <f t="shared" si="14"/>
        <v>-5</v>
      </c>
      <c r="O121" s="447">
        <f t="shared" si="14"/>
        <v>-4</v>
      </c>
      <c r="P121" s="447">
        <f t="shared" si="14"/>
        <v>-1</v>
      </c>
      <c r="Q121" s="447">
        <f t="shared" si="14"/>
        <v>-2</v>
      </c>
      <c r="R121" s="447">
        <f t="shared" si="14"/>
        <v>-3</v>
      </c>
      <c r="S121" s="447">
        <f t="shared" si="14"/>
        <v>-3</v>
      </c>
      <c r="T121" s="447">
        <f t="shared" si="14"/>
        <v>-4</v>
      </c>
      <c r="U121" s="447">
        <f t="shared" si="14"/>
        <v>-6</v>
      </c>
      <c r="V121" s="447">
        <f t="shared" si="14"/>
        <v>0</v>
      </c>
      <c r="W121" s="447">
        <f t="shared" si="14"/>
        <v>0</v>
      </c>
      <c r="X121" s="447">
        <f t="shared" si="14"/>
        <v>0</v>
      </c>
      <c r="Y121" s="447">
        <f t="shared" si="14"/>
        <v>0</v>
      </c>
      <c r="Z121" s="447">
        <f t="shared" si="14"/>
        <v>-30</v>
      </c>
    </row>
    <row r="123" spans="1:26" x14ac:dyDescent="0.25">
      <c r="A123" s="739" t="s">
        <v>1231</v>
      </c>
      <c r="B123" s="739"/>
    </row>
    <row r="124" spans="1:26" ht="30" x14ac:dyDescent="0.25">
      <c r="A124" s="570" t="s">
        <v>1</v>
      </c>
      <c r="B124" s="570" t="s">
        <v>59</v>
      </c>
      <c r="C124" s="425"/>
      <c r="D124" s="425"/>
      <c r="E124" s="425"/>
      <c r="F124" s="426"/>
      <c r="G124" s="432" t="s">
        <v>1225</v>
      </c>
      <c r="H124" s="427" t="s">
        <v>1224</v>
      </c>
      <c r="I124" s="427" t="s">
        <v>1498</v>
      </c>
      <c r="J124" s="427" t="s">
        <v>94</v>
      </c>
      <c r="K124" s="424" t="s">
        <v>681</v>
      </c>
      <c r="L124" s="424" t="s">
        <v>1496</v>
      </c>
      <c r="M124" s="424" t="s">
        <v>1497</v>
      </c>
      <c r="N124" s="424" t="s">
        <v>682</v>
      </c>
      <c r="O124" s="424" t="s">
        <v>683</v>
      </c>
      <c r="P124" s="424" t="s">
        <v>87</v>
      </c>
      <c r="Q124" s="424" t="s">
        <v>684</v>
      </c>
      <c r="R124" s="424" t="s">
        <v>685</v>
      </c>
      <c r="S124" s="424" t="s">
        <v>690</v>
      </c>
      <c r="T124" s="424" t="s">
        <v>686</v>
      </c>
      <c r="U124" s="424" t="s">
        <v>687</v>
      </c>
      <c r="V124" s="424" t="s">
        <v>688</v>
      </c>
      <c r="W124" s="424" t="s">
        <v>689</v>
      </c>
      <c r="X124" s="424" t="s">
        <v>138</v>
      </c>
      <c r="Y124" s="424" t="s">
        <v>1385</v>
      </c>
      <c r="Z124" s="424" t="s">
        <v>1238</v>
      </c>
    </row>
    <row r="125" spans="1:26" ht="15" customHeight="1" x14ac:dyDescent="0.25">
      <c r="A125" s="538"/>
      <c r="B125" s="535"/>
      <c r="C125" s="487"/>
      <c r="D125" s="488"/>
      <c r="E125" s="486"/>
      <c r="F125" s="488"/>
      <c r="G125" s="486"/>
      <c r="H125" s="539"/>
      <c r="I125" s="539"/>
      <c r="J125" s="539"/>
      <c r="K125" s="535"/>
      <c r="L125" s="535"/>
      <c r="M125" s="535"/>
      <c r="N125" s="535"/>
      <c r="O125" s="535"/>
      <c r="P125" s="535"/>
      <c r="Q125" s="535"/>
      <c r="R125" s="535"/>
      <c r="S125" s="535"/>
      <c r="T125" s="535"/>
      <c r="U125" s="535"/>
      <c r="V125" s="535"/>
      <c r="W125" s="535"/>
      <c r="X125" s="535"/>
      <c r="Y125" s="535"/>
      <c r="Z125" s="535">
        <f t="shared" ref="Z125:Z127" si="15">SUM(K125:Y125)</f>
        <v>0</v>
      </c>
    </row>
    <row r="126" spans="1:26" ht="15" customHeight="1" x14ac:dyDescent="0.25">
      <c r="A126" s="531"/>
      <c r="B126" s="535"/>
      <c r="C126" s="487"/>
      <c r="D126" s="488"/>
      <c r="E126" s="486"/>
      <c r="F126" s="488"/>
      <c r="G126" s="486"/>
      <c r="H126" s="539"/>
      <c r="I126" s="539"/>
      <c r="J126" s="539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>
        <f t="shared" si="15"/>
        <v>0</v>
      </c>
    </row>
    <row r="127" spans="1:26" ht="15" customHeight="1" x14ac:dyDescent="0.25">
      <c r="A127" s="538"/>
      <c r="B127" s="535"/>
      <c r="C127" s="487"/>
      <c r="D127" s="488"/>
      <c r="E127" s="486"/>
      <c r="F127" s="488"/>
      <c r="G127" s="486"/>
      <c r="H127" s="539"/>
      <c r="I127" s="539"/>
      <c r="J127" s="539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>
        <f t="shared" si="15"/>
        <v>0</v>
      </c>
    </row>
    <row r="128" spans="1:26" ht="15" customHeight="1" x14ac:dyDescent="0.25">
      <c r="A128" s="443" t="s">
        <v>1230</v>
      </c>
      <c r="B128" s="444"/>
      <c r="C128" s="445"/>
      <c r="D128" s="446"/>
      <c r="E128" s="447"/>
      <c r="F128" s="446"/>
      <c r="G128" s="447">
        <f>SUM(G125:G127)</f>
        <v>0</v>
      </c>
      <c r="H128" s="448">
        <f>SUM(H125:H127)</f>
        <v>0</v>
      </c>
      <c r="I128" s="448">
        <f t="shared" ref="I128:Z128" si="16">SUM(I125:I127)</f>
        <v>0</v>
      </c>
      <c r="J128" s="448">
        <f t="shared" si="16"/>
        <v>0</v>
      </c>
      <c r="K128" s="447">
        <f t="shared" si="16"/>
        <v>0</v>
      </c>
      <c r="L128" s="447">
        <f t="shared" si="16"/>
        <v>0</v>
      </c>
      <c r="M128" s="447">
        <f t="shared" si="16"/>
        <v>0</v>
      </c>
      <c r="N128" s="447">
        <f t="shared" si="16"/>
        <v>0</v>
      </c>
      <c r="O128" s="447">
        <f t="shared" si="16"/>
        <v>0</v>
      </c>
      <c r="P128" s="447">
        <f t="shared" si="16"/>
        <v>0</v>
      </c>
      <c r="Q128" s="447">
        <f t="shared" si="16"/>
        <v>0</v>
      </c>
      <c r="R128" s="447">
        <f t="shared" si="16"/>
        <v>0</v>
      </c>
      <c r="S128" s="447">
        <f t="shared" si="16"/>
        <v>0</v>
      </c>
      <c r="T128" s="447">
        <f t="shared" si="16"/>
        <v>0</v>
      </c>
      <c r="U128" s="447">
        <f t="shared" si="16"/>
        <v>0</v>
      </c>
      <c r="V128" s="447">
        <f t="shared" si="16"/>
        <v>0</v>
      </c>
      <c r="W128" s="447">
        <f t="shared" si="16"/>
        <v>0</v>
      </c>
      <c r="X128" s="447"/>
      <c r="Y128" s="447"/>
      <c r="Z128" s="447">
        <f t="shared" si="16"/>
        <v>0</v>
      </c>
    </row>
    <row r="129" spans="1:26" ht="15.75" thickBot="1" x14ac:dyDescent="0.3"/>
    <row r="130" spans="1:26" ht="15.75" thickBot="1" x14ac:dyDescent="0.3">
      <c r="A130" s="436" t="s">
        <v>1232</v>
      </c>
      <c r="B130" s="434"/>
      <c r="C130" s="434"/>
      <c r="D130" s="434"/>
      <c r="E130" s="434"/>
      <c r="F130" s="434"/>
      <c r="G130" s="437">
        <f t="shared" ref="G130:W130" si="17">G83+G96+G108+G121+G128</f>
        <v>46</v>
      </c>
      <c r="H130" s="438">
        <f t="shared" si="17"/>
        <v>32764.899999999994</v>
      </c>
      <c r="I130" s="438">
        <f t="shared" si="17"/>
        <v>15000</v>
      </c>
      <c r="J130" s="438">
        <f t="shared" si="17"/>
        <v>76152.12</v>
      </c>
      <c r="K130" s="450">
        <f t="shared" si="17"/>
        <v>1</v>
      </c>
      <c r="L130" s="450">
        <f t="shared" si="17"/>
        <v>1</v>
      </c>
      <c r="M130" s="450">
        <f t="shared" si="17"/>
        <v>0</v>
      </c>
      <c r="N130" s="450">
        <f t="shared" si="17"/>
        <v>-4</v>
      </c>
      <c r="O130" s="450">
        <f t="shared" si="17"/>
        <v>-4</v>
      </c>
      <c r="P130" s="450">
        <f t="shared" si="17"/>
        <v>3</v>
      </c>
      <c r="Q130" s="450">
        <f t="shared" si="17"/>
        <v>2</v>
      </c>
      <c r="R130" s="450">
        <f t="shared" si="17"/>
        <v>-2</v>
      </c>
      <c r="S130" s="450">
        <f t="shared" si="17"/>
        <v>-1</v>
      </c>
      <c r="T130" s="450">
        <f t="shared" si="17"/>
        <v>0</v>
      </c>
      <c r="U130" s="450">
        <f t="shared" si="17"/>
        <v>-4</v>
      </c>
      <c r="V130" s="450">
        <f t="shared" si="17"/>
        <v>1</v>
      </c>
      <c r="W130" s="450">
        <f t="shared" si="17"/>
        <v>0</v>
      </c>
      <c r="X130" s="450"/>
      <c r="Y130" s="450"/>
      <c r="Z130" s="450">
        <f>Z83+Z96+Z108+Z121+Z128</f>
        <v>-20</v>
      </c>
    </row>
    <row r="131" spans="1:26" ht="15.75" thickBot="1" x14ac:dyDescent="0.3">
      <c r="A131" s="436" t="s">
        <v>64</v>
      </c>
      <c r="B131" s="434"/>
      <c r="C131" s="434"/>
      <c r="D131" s="434"/>
      <c r="E131" s="434"/>
      <c r="F131" s="434"/>
      <c r="G131" s="437"/>
      <c r="H131" s="438"/>
      <c r="I131" s="438"/>
      <c r="J131" s="438"/>
    </row>
    <row r="132" spans="1:26" ht="15.75" thickBot="1" x14ac:dyDescent="0.3">
      <c r="A132" s="439" t="s">
        <v>452</v>
      </c>
      <c r="B132" s="440"/>
      <c r="C132" s="440"/>
      <c r="D132" s="440"/>
      <c r="E132" s="440"/>
      <c r="F132" s="440"/>
      <c r="G132" s="441"/>
      <c r="H132" s="442">
        <f>H130-H131</f>
        <v>32764.899999999994</v>
      </c>
      <c r="I132" s="442"/>
      <c r="J132" s="442"/>
    </row>
    <row r="135" spans="1:26" x14ac:dyDescent="0.25">
      <c r="H135" s="435">
        <f>H83+H108+H121+H128</f>
        <v>19220.899999999998</v>
      </c>
      <c r="I135" s="435"/>
      <c r="J135" s="435"/>
    </row>
  </sheetData>
  <sortState ref="A112:Z119">
    <sortCondition ref="B112:B119"/>
  </sortState>
  <mergeCells count="8">
    <mergeCell ref="G3:H3"/>
    <mergeCell ref="A86:B86"/>
    <mergeCell ref="A98:B98"/>
    <mergeCell ref="A110:B110"/>
    <mergeCell ref="A123:B123"/>
    <mergeCell ref="A3:B3"/>
    <mergeCell ref="C3:D3"/>
    <mergeCell ref="E3:F3"/>
  </mergeCells>
  <pageMargins left="0.7" right="0.7" top="0.75" bottom="0.75" header="0.3" footer="0.3"/>
  <pageSetup scale="33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Upsell</vt:lpstr>
      <vt:lpstr>VQI Participants</vt:lpstr>
      <vt:lpstr>Jan17</vt:lpstr>
      <vt:lpstr>Feb17</vt:lpstr>
      <vt:lpstr>Mar17</vt:lpstr>
      <vt:lpstr>Apr17</vt:lpstr>
      <vt:lpstr>May17</vt:lpstr>
      <vt:lpstr>Jun17</vt:lpstr>
      <vt:lpstr>Jul17</vt:lpstr>
      <vt:lpstr>Aug17</vt:lpstr>
      <vt:lpstr>Sep17</vt:lpstr>
      <vt:lpstr>Oct17</vt:lpstr>
      <vt:lpstr>Nov17</vt:lpstr>
      <vt:lpstr>Dec17</vt:lpstr>
      <vt:lpstr>Jan-16</vt:lpstr>
      <vt:lpstr>Feb-16</vt:lpstr>
      <vt:lpstr>Mar16</vt:lpstr>
      <vt:lpstr>Apr16</vt:lpstr>
      <vt:lpstr>May16</vt:lpstr>
      <vt:lpstr>Jun16</vt:lpstr>
      <vt:lpstr>Jul16</vt:lpstr>
      <vt:lpstr>Aug16</vt:lpstr>
      <vt:lpstr>Sept16</vt:lpstr>
      <vt:lpstr>Oct16</vt:lpstr>
      <vt:lpstr>Nov16</vt:lpstr>
      <vt:lpstr>Jan-15</vt:lpstr>
      <vt:lpstr>Feb-15</vt:lpstr>
      <vt:lpstr>Mar-15</vt:lpstr>
      <vt:lpstr>New recurring revenue by month</vt:lpstr>
      <vt:lpstr>Lost Registries</vt:lpstr>
      <vt:lpstr>Apr-15</vt:lpstr>
      <vt:lpstr>May-15</vt:lpstr>
      <vt:lpstr>Jun-15</vt:lpstr>
      <vt:lpstr>Jul-15</vt:lpstr>
      <vt:lpstr>Aug-15</vt:lpstr>
      <vt:lpstr>Sep-15</vt:lpstr>
      <vt:lpstr>Oct-15</vt:lpstr>
      <vt:lpstr>Nov-15</vt:lpstr>
      <vt:lpstr>Dec-15</vt:lpstr>
      <vt:lpstr>Terminated contracts</vt:lpstr>
    </vt:vector>
  </TitlesOfParts>
  <Company>M2S,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</dc:creator>
  <cp:lastModifiedBy>Nancy Heatley</cp:lastModifiedBy>
  <cp:lastPrinted>2018-11-12T18:24:20Z</cp:lastPrinted>
  <dcterms:created xsi:type="dcterms:W3CDTF">2011-05-05T17:29:16Z</dcterms:created>
  <dcterms:modified xsi:type="dcterms:W3CDTF">2019-01-07T00:44:53Z</dcterms:modified>
</cp:coreProperties>
</file>